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1d03a339bf89e4/Documents/HR parent/PTO/"/>
    </mc:Choice>
  </mc:AlternateContent>
  <xr:revisionPtr revIDLastSave="0" documentId="8_{7BC9898E-7505-4465-A673-BF3332D877FE}" xr6:coauthVersionLast="45" xr6:coauthVersionMax="45" xr10:uidLastSave="{00000000-0000-0000-0000-000000000000}"/>
  <bookViews>
    <workbookView xWindow="-98" yWindow="-98" windowWidth="20715" windowHeight="13276" xr2:uid="{51832B52-1215-4D23-A426-C24D07D91DB5}"/>
  </bookViews>
  <sheets>
    <sheet name="Budget Summary 2017-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9" i="1"/>
  <c r="C10" i="1"/>
  <c r="D10" i="1"/>
  <c r="B11" i="1"/>
  <c r="C11" i="1"/>
  <c r="D11" i="1"/>
  <c r="E11" i="1"/>
  <c r="F11" i="1"/>
  <c r="G11" i="1"/>
  <c r="H11" i="1"/>
  <c r="I11" i="1"/>
  <c r="J11" i="1"/>
  <c r="C12" i="1"/>
  <c r="E12" i="1"/>
  <c r="I12" i="1"/>
  <c r="C13" i="1"/>
  <c r="E13" i="1"/>
  <c r="J15" i="1"/>
  <c r="E16" i="1"/>
  <c r="E18" i="1"/>
  <c r="C19" i="1"/>
  <c r="E19" i="1"/>
  <c r="E23" i="1" s="1"/>
  <c r="E30" i="1" s="1"/>
  <c r="E85" i="1" s="1"/>
  <c r="C20" i="1"/>
  <c r="E20" i="1"/>
  <c r="I21" i="1"/>
  <c r="C22" i="1"/>
  <c r="C23" i="1" s="1"/>
  <c r="C30" i="1" s="1"/>
  <c r="C85" i="1" s="1"/>
  <c r="E22" i="1"/>
  <c r="B23" i="1"/>
  <c r="D23" i="1"/>
  <c r="F23" i="1"/>
  <c r="G23" i="1"/>
  <c r="H23" i="1"/>
  <c r="I23" i="1"/>
  <c r="J23" i="1"/>
  <c r="C24" i="1"/>
  <c r="C29" i="1" s="1"/>
  <c r="E24" i="1"/>
  <c r="C25" i="1"/>
  <c r="E25" i="1"/>
  <c r="E26" i="1"/>
  <c r="I27" i="1"/>
  <c r="J27" i="1"/>
  <c r="C28" i="1"/>
  <c r="I28" i="1"/>
  <c r="J28" i="1"/>
  <c r="J29" i="1" s="1"/>
  <c r="B29" i="1"/>
  <c r="D29" i="1"/>
  <c r="E29" i="1"/>
  <c r="F29" i="1"/>
  <c r="G29" i="1"/>
  <c r="H29" i="1"/>
  <c r="I29" i="1"/>
  <c r="B30" i="1"/>
  <c r="D30" i="1"/>
  <c r="F30" i="1"/>
  <c r="G30" i="1"/>
  <c r="H30" i="1"/>
  <c r="I30" i="1"/>
  <c r="J30" i="1"/>
  <c r="C35" i="1"/>
  <c r="E35" i="1"/>
  <c r="J35" i="1"/>
  <c r="E36" i="1"/>
  <c r="J36" i="1"/>
  <c r="C37" i="1"/>
  <c r="C42" i="1" s="1"/>
  <c r="C83" i="1" s="1"/>
  <c r="E37" i="1"/>
  <c r="C38" i="1"/>
  <c r="D38" i="1"/>
  <c r="J38" i="1"/>
  <c r="E40" i="1"/>
  <c r="C41" i="1"/>
  <c r="E41" i="1"/>
  <c r="B42" i="1"/>
  <c r="D42" i="1"/>
  <c r="E42" i="1"/>
  <c r="F42" i="1"/>
  <c r="G42" i="1"/>
  <c r="H42" i="1"/>
  <c r="I42" i="1"/>
  <c r="J42" i="1"/>
  <c r="E44" i="1"/>
  <c r="C46" i="1"/>
  <c r="E46" i="1"/>
  <c r="C47" i="1"/>
  <c r="C48" i="1"/>
  <c r="E48" i="1"/>
  <c r="D49" i="1"/>
  <c r="E49" i="1"/>
  <c r="B51" i="1"/>
  <c r="C51" i="1"/>
  <c r="D51" i="1"/>
  <c r="E51" i="1"/>
  <c r="F51" i="1"/>
  <c r="G51" i="1"/>
  <c r="H51" i="1"/>
  <c r="I51" i="1"/>
  <c r="J51" i="1"/>
  <c r="C52" i="1"/>
  <c r="E52" i="1"/>
  <c r="C54" i="1"/>
  <c r="C55" i="1"/>
  <c r="E55" i="1"/>
  <c r="C56" i="1"/>
  <c r="E56" i="1"/>
  <c r="C57" i="1"/>
  <c r="E57" i="1"/>
  <c r="C58" i="1"/>
  <c r="C59" i="1"/>
  <c r="E59" i="1"/>
  <c r="C60" i="1"/>
  <c r="E60" i="1"/>
  <c r="I61" i="1"/>
  <c r="C62" i="1"/>
  <c r="E62" i="1"/>
  <c r="I62" i="1"/>
  <c r="B63" i="1"/>
  <c r="C63" i="1"/>
  <c r="D63" i="1"/>
  <c r="E63" i="1"/>
  <c r="F63" i="1"/>
  <c r="G63" i="1"/>
  <c r="H63" i="1"/>
  <c r="I63" i="1"/>
  <c r="J63" i="1"/>
  <c r="C64" i="1"/>
  <c r="E64" i="1"/>
  <c r="C65" i="1"/>
  <c r="E65" i="1"/>
  <c r="C67" i="1"/>
  <c r="E67" i="1"/>
  <c r="E69" i="1" s="1"/>
  <c r="E83" i="1" s="1"/>
  <c r="J68" i="1"/>
  <c r="B69" i="1"/>
  <c r="C69" i="1"/>
  <c r="D69" i="1"/>
  <c r="F69" i="1"/>
  <c r="G69" i="1"/>
  <c r="H69" i="1"/>
  <c r="I69" i="1"/>
  <c r="J69" i="1"/>
  <c r="C71" i="1"/>
  <c r="E71" i="1"/>
  <c r="C73" i="1"/>
  <c r="E73" i="1"/>
  <c r="C74" i="1"/>
  <c r="E74" i="1"/>
  <c r="C76" i="1"/>
  <c r="E76" i="1"/>
  <c r="B77" i="1"/>
  <c r="C77" i="1"/>
  <c r="D77" i="1"/>
  <c r="E77" i="1"/>
  <c r="F77" i="1"/>
  <c r="G77" i="1"/>
  <c r="H77" i="1"/>
  <c r="I77" i="1"/>
  <c r="J77" i="1"/>
  <c r="C78" i="1"/>
  <c r="D78" i="1"/>
  <c r="E78" i="1"/>
  <c r="C79" i="1"/>
  <c r="E79" i="1"/>
  <c r="E82" i="1" s="1"/>
  <c r="E80" i="1"/>
  <c r="E81" i="1"/>
  <c r="B82" i="1"/>
  <c r="C82" i="1"/>
  <c r="D82" i="1"/>
  <c r="F82" i="1"/>
  <c r="G82" i="1"/>
  <c r="H82" i="1"/>
  <c r="I82" i="1"/>
  <c r="J82" i="1"/>
  <c r="B83" i="1"/>
  <c r="B85" i="1" s="1"/>
  <c r="D83" i="1"/>
  <c r="F83" i="1"/>
  <c r="F85" i="1" s="1"/>
  <c r="G83" i="1"/>
  <c r="H83" i="1"/>
  <c r="I83" i="1"/>
  <c r="J83" i="1"/>
  <c r="J85" i="1" s="1"/>
  <c r="D85" i="1"/>
  <c r="G85" i="1"/>
  <c r="H85" i="1"/>
  <c r="I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joep</author>
  </authors>
  <commentList>
    <comment ref="M41" authorId="0" shapeId="0" xr:uid="{BCCF7B45-1297-4967-9EA3-DB6B55E9B371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Ck#1008 Scholastic BF. Ck#1012 $45.26 D. Fredella, Flyers. Ck#1014 $195.39 Scholastic Donation.</t>
        </r>
      </text>
    </comment>
  </commentList>
</comments>
</file>

<file path=xl/sharedStrings.xml><?xml version="1.0" encoding="utf-8"?>
<sst xmlns="http://schemas.openxmlformats.org/spreadsheetml/2006/main" count="140" uniqueCount="92">
  <si>
    <t>50/50 - Spring Fling</t>
  </si>
  <si>
    <t>&lt; Ties to Monthly</t>
  </si>
  <si>
    <t>Net (Beginning Balance Next Year)</t>
  </si>
  <si>
    <t>TOTAL OUTFLOWS</t>
  </si>
  <si>
    <t>Environmental &amp; Garden Club</t>
  </si>
  <si>
    <t xml:space="preserve">Spirit Wear </t>
  </si>
  <si>
    <t>Social/ Emotional Learning</t>
  </si>
  <si>
    <t xml:space="preserve">Special Projects </t>
  </si>
  <si>
    <t xml:space="preserve">    Total PTO Events</t>
  </si>
  <si>
    <t xml:space="preserve">       Welcome Back Teacher Luncheon</t>
  </si>
  <si>
    <t xml:space="preserve">       Newcomers' Ice Cream Social</t>
  </si>
  <si>
    <t xml:space="preserve">       Back to School Night</t>
  </si>
  <si>
    <t>Staff Appreciation Day</t>
  </si>
  <si>
    <t xml:space="preserve">   Conference Hospitality</t>
  </si>
  <si>
    <t xml:space="preserve">      Halloween Spooktacular</t>
  </si>
  <si>
    <t>PTO Events</t>
  </si>
  <si>
    <t xml:space="preserve">    TOTAL Programs</t>
  </si>
  <si>
    <t xml:space="preserve">   Grade Level Programs Reserve</t>
  </si>
  <si>
    <t xml:space="preserve">   Grade Level Programs</t>
  </si>
  <si>
    <t xml:space="preserve">       Author Visits Reserve</t>
  </si>
  <si>
    <t xml:space="preserve">       Author Visits</t>
  </si>
  <si>
    <t xml:space="preserve">       School programs/assemblies</t>
  </si>
  <si>
    <t>Programs</t>
  </si>
  <si>
    <t>Office Supplies</t>
  </si>
  <si>
    <t>Bulletin Boards</t>
  </si>
  <si>
    <t>Misc.</t>
  </si>
  <si>
    <t>Marketing PR</t>
  </si>
  <si>
    <t xml:space="preserve">Legalized Games of Chance </t>
  </si>
  <si>
    <t>Hospitality</t>
  </si>
  <si>
    <t>Class Grants - Reserve</t>
  </si>
  <si>
    <t>Class Grants</t>
  </si>
  <si>
    <t>Graduation Awards</t>
  </si>
  <si>
    <t>Graduation</t>
  </si>
  <si>
    <t xml:space="preserve">Gifts </t>
  </si>
  <si>
    <t xml:space="preserve">   TOTAL Fundraiser</t>
  </si>
  <si>
    <t xml:space="preserve">        Off Campus Events</t>
  </si>
  <si>
    <t xml:space="preserve">        Spring Fundraiser Reserve</t>
  </si>
  <si>
    <t xml:space="preserve">        Spring Fundraiser</t>
  </si>
  <si>
    <t xml:space="preserve">        Box Tops</t>
  </si>
  <si>
    <t xml:space="preserve">    Scholastic -  Book Fair</t>
  </si>
  <si>
    <t xml:space="preserve">     Barnes &amp; Noble Book Fair</t>
  </si>
  <si>
    <t xml:space="preserve">        Bedminster Charities Fall Fest</t>
  </si>
  <si>
    <t>PTO Fundraisers</t>
  </si>
  <si>
    <t>P.E. Day</t>
  </si>
  <si>
    <t>Drama club / Spring Musical</t>
  </si>
  <si>
    <t>Charities Registration</t>
  </si>
  <si>
    <t xml:space="preserve">Bus Reserve </t>
  </si>
  <si>
    <t>Bus</t>
  </si>
  <si>
    <t>BHS Project Graduation</t>
  </si>
  <si>
    <t>Bank Charge</t>
  </si>
  <si>
    <t>OUTFLOWS</t>
  </si>
  <si>
    <t>2018-2019</t>
  </si>
  <si>
    <t>2019 - 2020</t>
  </si>
  <si>
    <t>2017-2018</t>
  </si>
  <si>
    <t>2016-2017</t>
  </si>
  <si>
    <t>Budget</t>
  </si>
  <si>
    <t>YTD</t>
  </si>
  <si>
    <t>Proposed</t>
  </si>
  <si>
    <t>Actual</t>
  </si>
  <si>
    <t>TOTAL INFLOWS</t>
  </si>
  <si>
    <t>Off Campus Events</t>
  </si>
  <si>
    <t>Family Night</t>
  </si>
  <si>
    <t>Halloween Spooktacular</t>
  </si>
  <si>
    <t>Spirit Wear</t>
  </si>
  <si>
    <t>Membership</t>
  </si>
  <si>
    <t xml:space="preserve">    TOTAL FUNDRAISERS</t>
  </si>
  <si>
    <t xml:space="preserve">     Box Tops</t>
  </si>
  <si>
    <t xml:space="preserve">     Amazon Smile</t>
  </si>
  <si>
    <t xml:space="preserve">     Spring Fundraiser</t>
  </si>
  <si>
    <t xml:space="preserve">     Display My Art</t>
  </si>
  <si>
    <t xml:space="preserve">     Bedminster Fall Fest - Fallout</t>
  </si>
  <si>
    <t xml:space="preserve">     Bedminster Charities Fall fest</t>
  </si>
  <si>
    <t xml:space="preserve">     FUNDRAISERS</t>
  </si>
  <si>
    <t>Donation</t>
  </si>
  <si>
    <t xml:space="preserve">Misc. </t>
  </si>
  <si>
    <t>Actual Beginning Cash</t>
  </si>
  <si>
    <t>Open checks from prior fiscal year</t>
  </si>
  <si>
    <t>50/50 Bank balance</t>
  </si>
  <si>
    <t>Bank balance</t>
  </si>
  <si>
    <t>INFLOWS</t>
  </si>
  <si>
    <t>2020 - 2021</t>
  </si>
  <si>
    <t>2018 - 2019</t>
  </si>
  <si>
    <t>2017 - 2018</t>
  </si>
  <si>
    <t>2016 - 2017</t>
  </si>
  <si>
    <t>Budget Plan</t>
  </si>
  <si>
    <t>Gift Card Barnes</t>
  </si>
  <si>
    <t>YTD May 20</t>
  </si>
  <si>
    <t>ok</t>
  </si>
  <si>
    <t>blue-out</t>
  </si>
  <si>
    <t>ACTUALS</t>
  </si>
  <si>
    <t>Bedminster Township PTO Budget 2020-2021 School Year</t>
  </si>
  <si>
    <t xml:space="preserve">Peapack Gladstone - Checking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</si>
</sst>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&quot;$&quot;\(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indexed="3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</cellStyleXfs>
  <cellXfs count="101">
    <xf numFmtId="0" fontId="0" fillId="0" borderId="0" xfId="0"/>
    <xf numFmtId="0" fontId="2" fillId="0" borderId="0" xfId="2">
      <alignment vertical="center"/>
    </xf>
    <xf numFmtId="0" fontId="3" fillId="0" borderId="0" xfId="2" applyFont="1">
      <alignment vertical="center"/>
    </xf>
    <xf numFmtId="0" fontId="2" fillId="0" borderId="1" xfId="2" applyBorder="1">
      <alignment vertical="center"/>
    </xf>
    <xf numFmtId="44" fontId="4" fillId="0" borderId="2" xfId="1" applyFont="1" applyBorder="1" applyAlignment="1">
      <alignment vertical="center"/>
    </xf>
    <xf numFmtId="44" fontId="2" fillId="0" borderId="3" xfId="1" applyFont="1" applyBorder="1" applyAlignment="1">
      <alignment vertical="center"/>
    </xf>
    <xf numFmtId="0" fontId="0" fillId="0" borderId="0" xfId="0" applyAlignment="1">
      <alignment vertical="center"/>
    </xf>
    <xf numFmtId="44" fontId="2" fillId="0" borderId="4" xfId="1" applyFont="1" applyBorder="1" applyAlignment="1">
      <alignment vertical="center"/>
    </xf>
    <xf numFmtId="0" fontId="2" fillId="0" borderId="4" xfId="2" applyBorder="1">
      <alignment vertical="center"/>
    </xf>
    <xf numFmtId="7" fontId="2" fillId="0" borderId="0" xfId="2" applyNumberFormat="1">
      <alignment vertical="center"/>
    </xf>
    <xf numFmtId="7" fontId="2" fillId="0" borderId="4" xfId="2" applyNumberFormat="1" applyBorder="1">
      <alignment vertical="center"/>
    </xf>
    <xf numFmtId="164" fontId="2" fillId="0" borderId="0" xfId="2" applyNumberFormat="1">
      <alignment vertical="center"/>
    </xf>
    <xf numFmtId="164" fontId="4" fillId="0" borderId="4" xfId="2" applyNumberFormat="1" applyFont="1" applyBorder="1">
      <alignment vertical="center"/>
    </xf>
    <xf numFmtId="164" fontId="5" fillId="0" borderId="4" xfId="2" applyNumberFormat="1" applyFont="1" applyBorder="1" applyAlignment="1"/>
    <xf numFmtId="164" fontId="5" fillId="0" borderId="0" xfId="2" applyNumberFormat="1" applyFont="1" applyAlignment="1"/>
    <xf numFmtId="164" fontId="5" fillId="0" borderId="5" xfId="2" applyNumberFormat="1" applyFont="1" applyBorder="1" applyAlignment="1"/>
    <xf numFmtId="164" fontId="5" fillId="0" borderId="6" xfId="2" applyNumberFormat="1" applyFont="1" applyBorder="1" applyAlignment="1"/>
    <xf numFmtId="164" fontId="5" fillId="0" borderId="7" xfId="2" applyNumberFormat="1" applyFont="1" applyBorder="1" applyAlignment="1"/>
    <xf numFmtId="164" fontId="5" fillId="0" borderId="8" xfId="2" applyNumberFormat="1" applyFont="1" applyBorder="1" applyAlignment="1"/>
    <xf numFmtId="0" fontId="6" fillId="2" borderId="8" xfId="2" applyFont="1" applyFill="1" applyBorder="1" applyAlignment="1"/>
    <xf numFmtId="164" fontId="7" fillId="2" borderId="5" xfId="2" applyNumberFormat="1" applyFont="1" applyFill="1" applyBorder="1" applyAlignment="1"/>
    <xf numFmtId="164" fontId="7" fillId="2" borderId="6" xfId="2" applyNumberFormat="1" applyFont="1" applyFill="1" applyBorder="1" applyAlignment="1"/>
    <xf numFmtId="164" fontId="7" fillId="2" borderId="7" xfId="2" applyNumberFormat="1" applyFont="1" applyFill="1" applyBorder="1" applyAlignment="1"/>
    <xf numFmtId="164" fontId="7" fillId="2" borderId="8" xfId="2" applyNumberFormat="1" applyFont="1" applyFill="1" applyBorder="1" applyAlignment="1"/>
    <xf numFmtId="0" fontId="8" fillId="0" borderId="8" xfId="2" applyFont="1" applyBorder="1" applyAlignment="1"/>
    <xf numFmtId="0" fontId="4" fillId="0" borderId="0" xfId="2" applyFont="1">
      <alignment vertical="center"/>
    </xf>
    <xf numFmtId="164" fontId="3" fillId="3" borderId="5" xfId="2" applyNumberFormat="1" applyFont="1" applyFill="1" applyBorder="1" applyAlignment="1"/>
    <xf numFmtId="164" fontId="9" fillId="0" borderId="6" xfId="2" applyNumberFormat="1" applyFont="1" applyBorder="1" applyAlignment="1"/>
    <xf numFmtId="164" fontId="3" fillId="4" borderId="7" xfId="2" applyNumberFormat="1" applyFont="1" applyFill="1" applyBorder="1" applyAlignment="1"/>
    <xf numFmtId="164" fontId="9" fillId="0" borderId="8" xfId="2" applyNumberFormat="1" applyFont="1" applyBorder="1" applyAlignment="1"/>
    <xf numFmtId="164" fontId="3" fillId="4" borderId="8" xfId="2" applyNumberFormat="1" applyFont="1" applyFill="1" applyBorder="1" applyAlignment="1"/>
    <xf numFmtId="164" fontId="2" fillId="0" borderId="8" xfId="2" applyNumberFormat="1" applyBorder="1" applyAlignment="1"/>
    <xf numFmtId="0" fontId="9" fillId="3" borderId="8" xfId="2" applyFont="1" applyFill="1" applyBorder="1" applyAlignment="1"/>
    <xf numFmtId="164" fontId="3" fillId="4" borderId="5" xfId="2" applyNumberFormat="1" applyFont="1" applyFill="1" applyBorder="1" applyAlignment="1"/>
    <xf numFmtId="0" fontId="9" fillId="0" borderId="8" xfId="2" applyFont="1" applyBorder="1" applyAlignment="1"/>
    <xf numFmtId="164" fontId="5" fillId="2" borderId="5" xfId="2" applyNumberFormat="1" applyFont="1" applyFill="1" applyBorder="1" applyAlignment="1"/>
    <xf numFmtId="164" fontId="5" fillId="2" borderId="6" xfId="2" applyNumberFormat="1" applyFont="1" applyFill="1" applyBorder="1" applyAlignment="1"/>
    <xf numFmtId="164" fontId="5" fillId="2" borderId="7" xfId="2" applyNumberFormat="1" applyFont="1" applyFill="1" applyBorder="1" applyAlignment="1"/>
    <xf numFmtId="164" fontId="5" fillId="2" borderId="8" xfId="2" applyNumberFormat="1" applyFont="1" applyFill="1" applyBorder="1" applyAlignment="1"/>
    <xf numFmtId="0" fontId="10" fillId="0" borderId="8" xfId="2" applyFont="1" applyBorder="1" applyAlignment="1"/>
    <xf numFmtId="164" fontId="3" fillId="5" borderId="5" xfId="2" applyNumberFormat="1" applyFont="1" applyFill="1" applyBorder="1" applyAlignment="1"/>
    <xf numFmtId="0" fontId="11" fillId="0" borderId="0" xfId="2" applyFont="1">
      <alignment vertical="center"/>
    </xf>
    <xf numFmtId="164" fontId="11" fillId="0" borderId="6" xfId="2" applyNumberFormat="1" applyFont="1" applyBorder="1" applyAlignment="1"/>
    <xf numFmtId="0" fontId="9" fillId="3" borderId="8" xfId="2" applyFont="1" applyFill="1" applyBorder="1" applyAlignment="1">
      <alignment horizontal="left" indent="2"/>
    </xf>
    <xf numFmtId="164" fontId="9" fillId="6" borderId="8" xfId="2" applyNumberFormat="1" applyFont="1" applyFill="1" applyBorder="1" applyAlignment="1"/>
    <xf numFmtId="164" fontId="2" fillId="6" borderId="8" xfId="2" applyNumberFormat="1" applyFill="1" applyBorder="1" applyAlignment="1"/>
    <xf numFmtId="0" fontId="9" fillId="6" borderId="8" xfId="2" applyFont="1" applyFill="1" applyBorder="1" applyAlignment="1">
      <alignment horizontal="left" indent="1"/>
    </xf>
    <xf numFmtId="164" fontId="3" fillId="0" borderId="5" xfId="2" applyNumberFormat="1" applyFont="1" applyBorder="1" applyAlignment="1"/>
    <xf numFmtId="164" fontId="3" fillId="0" borderId="7" xfId="2" applyNumberFormat="1" applyFont="1" applyBorder="1" applyAlignment="1"/>
    <xf numFmtId="164" fontId="3" fillId="0" borderId="8" xfId="2" applyNumberFormat="1" applyFont="1" applyBorder="1" applyAlignment="1"/>
    <xf numFmtId="0" fontId="7" fillId="0" borderId="8" xfId="2" applyFont="1" applyBorder="1" applyAlignment="1"/>
    <xf numFmtId="0" fontId="9" fillId="0" borderId="8" xfId="2" applyFont="1" applyBorder="1" applyAlignment="1">
      <alignment horizontal="left" indent="1"/>
    </xf>
    <xf numFmtId="0" fontId="9" fillId="3" borderId="8" xfId="2" applyFont="1" applyFill="1" applyBorder="1" applyAlignment="1">
      <alignment horizontal="left" indent="1"/>
    </xf>
    <xf numFmtId="164" fontId="9" fillId="3" borderId="6" xfId="2" applyNumberFormat="1" applyFont="1" applyFill="1" applyBorder="1" applyAlignment="1"/>
    <xf numFmtId="164" fontId="3" fillId="3" borderId="7" xfId="2" applyNumberFormat="1" applyFont="1" applyFill="1" applyBorder="1" applyAlignment="1"/>
    <xf numFmtId="164" fontId="9" fillId="3" borderId="8" xfId="2" applyNumberFormat="1" applyFont="1" applyFill="1" applyBorder="1" applyAlignment="1"/>
    <xf numFmtId="164" fontId="3" fillId="3" borderId="8" xfId="2" applyNumberFormat="1" applyFont="1" applyFill="1" applyBorder="1" applyAlignment="1"/>
    <xf numFmtId="164" fontId="2" fillId="3" borderId="8" xfId="2" applyNumberFormat="1" applyFill="1" applyBorder="1" applyAlignment="1"/>
    <xf numFmtId="164" fontId="9" fillId="5" borderId="6" xfId="2" applyNumberFormat="1" applyFont="1" applyFill="1" applyBorder="1" applyAlignment="1"/>
    <xf numFmtId="164" fontId="4" fillId="0" borderId="6" xfId="2" applyNumberFormat="1" applyFont="1" applyBorder="1" applyAlignment="1"/>
    <xf numFmtId="0" fontId="9" fillId="6" borderId="8" xfId="2" applyFont="1" applyFill="1" applyBorder="1" applyAlignment="1"/>
    <xf numFmtId="164" fontId="9" fillId="0" borderId="0" xfId="2" applyNumberFormat="1" applyFont="1" applyAlignment="1"/>
    <xf numFmtId="164" fontId="3" fillId="7" borderId="5" xfId="2" applyNumberFormat="1" applyFont="1" applyFill="1" applyBorder="1" applyAlignment="1"/>
    <xf numFmtId="164" fontId="7" fillId="7" borderId="6" xfId="2" applyNumberFormat="1" applyFont="1" applyFill="1" applyBorder="1" applyAlignment="1"/>
    <xf numFmtId="164" fontId="4" fillId="4" borderId="5" xfId="2" applyNumberFormat="1" applyFont="1" applyFill="1" applyBorder="1" applyAlignment="1"/>
    <xf numFmtId="0" fontId="12" fillId="0" borderId="5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164" fontId="7" fillId="0" borderId="6" xfId="2" applyNumberFormat="1" applyFont="1" applyBorder="1" applyAlignment="1">
      <alignment horizontal="center"/>
    </xf>
    <xf numFmtId="164" fontId="14" fillId="5" borderId="5" xfId="2" applyNumberFormat="1" applyFont="1" applyFill="1" applyBorder="1" applyAlignment="1"/>
    <xf numFmtId="164" fontId="14" fillId="5" borderId="6" xfId="2" applyNumberFormat="1" applyFont="1" applyFill="1" applyBorder="1" applyAlignment="1"/>
    <xf numFmtId="164" fontId="14" fillId="5" borderId="7" xfId="2" applyNumberFormat="1" applyFont="1" applyFill="1" applyBorder="1" applyAlignment="1"/>
    <xf numFmtId="164" fontId="14" fillId="5" borderId="8" xfId="2" applyNumberFormat="1" applyFont="1" applyFill="1" applyBorder="1" applyAlignment="1"/>
    <xf numFmtId="0" fontId="14" fillId="5" borderId="8" xfId="2" applyFont="1" applyFill="1" applyBorder="1" applyAlignment="1"/>
    <xf numFmtId="164" fontId="15" fillId="5" borderId="5" xfId="2" applyNumberFormat="1" applyFont="1" applyFill="1" applyBorder="1" applyAlignment="1"/>
    <xf numFmtId="164" fontId="15" fillId="5" borderId="6" xfId="2" applyNumberFormat="1" applyFont="1" applyFill="1" applyBorder="1" applyAlignment="1"/>
    <xf numFmtId="164" fontId="15" fillId="5" borderId="7" xfId="2" applyNumberFormat="1" applyFont="1" applyFill="1" applyBorder="1" applyAlignment="1"/>
    <xf numFmtId="164" fontId="15" fillId="5" borderId="8" xfId="2" applyNumberFormat="1" applyFont="1" applyFill="1" applyBorder="1" applyAlignment="1"/>
    <xf numFmtId="164" fontId="3" fillId="6" borderId="7" xfId="2" applyNumberFormat="1" applyFont="1" applyFill="1" applyBorder="1" applyAlignment="1"/>
    <xf numFmtId="164" fontId="3" fillId="6" borderId="8" xfId="2" applyNumberFormat="1" applyFont="1" applyFill="1" applyBorder="1" applyAlignment="1"/>
    <xf numFmtId="164" fontId="11" fillId="8" borderId="5" xfId="2" applyNumberFormat="1" applyFont="1" applyFill="1" applyBorder="1" applyAlignment="1"/>
    <xf numFmtId="164" fontId="11" fillId="8" borderId="6" xfId="2" applyNumberFormat="1" applyFont="1" applyFill="1" applyBorder="1" applyAlignment="1"/>
    <xf numFmtId="164" fontId="11" fillId="8" borderId="7" xfId="2" applyNumberFormat="1" applyFont="1" applyFill="1" applyBorder="1" applyAlignment="1"/>
    <xf numFmtId="164" fontId="11" fillId="8" borderId="8" xfId="2" applyNumberFormat="1" applyFont="1" applyFill="1" applyBorder="1" applyAlignment="1"/>
    <xf numFmtId="0" fontId="11" fillId="8" borderId="8" xfId="2" applyFont="1" applyFill="1" applyBorder="1" applyAlignment="1"/>
    <xf numFmtId="164" fontId="11" fillId="3" borderId="6" xfId="2" applyNumberFormat="1" applyFont="1" applyFill="1" applyBorder="1" applyAlignment="1"/>
    <xf numFmtId="164" fontId="11" fillId="5" borderId="6" xfId="2" applyNumberFormat="1" applyFont="1" applyFill="1" applyBorder="1" applyAlignment="1"/>
    <xf numFmtId="0" fontId="3" fillId="0" borderId="5" xfId="2" applyFont="1" applyBorder="1" applyAlignment="1"/>
    <xf numFmtId="0" fontId="9" fillId="0" borderId="6" xfId="2" applyFont="1" applyBorder="1" applyAlignment="1"/>
    <xf numFmtId="0" fontId="3" fillId="0" borderId="7" xfId="2" applyFont="1" applyBorder="1" applyAlignment="1"/>
    <xf numFmtId="0" fontId="3" fillId="0" borderId="8" xfId="2" applyFont="1" applyBorder="1" applyAlignment="1"/>
    <xf numFmtId="0" fontId="2" fillId="0" borderId="8" xfId="2" applyBorder="1" applyAlignment="1"/>
    <xf numFmtId="0" fontId="16" fillId="0" borderId="8" xfId="2" applyFont="1" applyBorder="1" applyAlignment="1"/>
    <xf numFmtId="0" fontId="4" fillId="5" borderId="9" xfId="2" applyFont="1" applyFill="1" applyBorder="1" applyAlignment="1">
      <alignment horizontal="center" vertical="center"/>
    </xf>
    <xf numFmtId="0" fontId="12" fillId="0" borderId="10" xfId="2" applyFont="1" applyBorder="1" applyAlignment="1">
      <alignment wrapText="1"/>
    </xf>
    <xf numFmtId="0" fontId="2" fillId="7" borderId="0" xfId="2" applyFill="1">
      <alignment vertical="center"/>
    </xf>
    <xf numFmtId="0" fontId="4" fillId="5" borderId="11" xfId="2" applyFont="1" applyFill="1" applyBorder="1" applyAlignment="1">
      <alignment horizontal="center" vertical="center"/>
    </xf>
    <xf numFmtId="0" fontId="13" fillId="0" borderId="0" xfId="2" applyFont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C595B7C1-27D6-4169-AE4C-A1C24F91F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590550</xdr:colOff>
      <xdr:row>58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F895AB-FED7-49D8-8443-3B13B33B99E3}"/>
            </a:ext>
          </a:extLst>
        </xdr:cNvPr>
        <xdr:cNvSpPr txBox="1"/>
      </xdr:nvSpPr>
      <xdr:spPr>
        <a:xfrm>
          <a:off x="32004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590550</xdr:colOff>
      <xdr:row>58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B8867C-87E8-40DE-9FC1-C734E9DB91F6}"/>
            </a:ext>
          </a:extLst>
        </xdr:cNvPr>
        <xdr:cNvSpPr txBox="1"/>
      </xdr:nvSpPr>
      <xdr:spPr>
        <a:xfrm>
          <a:off x="450532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590550</xdr:colOff>
      <xdr:row>58</xdr:row>
      <xdr:rowOff>95250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BEBF07C-2A18-4931-A806-D03AA24130F3}"/>
            </a:ext>
          </a:extLst>
        </xdr:cNvPr>
        <xdr:cNvSpPr txBox="1"/>
      </xdr:nvSpPr>
      <xdr:spPr>
        <a:xfrm>
          <a:off x="581025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590550</xdr:colOff>
      <xdr:row>59</xdr:row>
      <xdr:rowOff>95250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3D607A-3763-4400-A0FE-F2219DFDC50C}"/>
            </a:ext>
          </a:extLst>
        </xdr:cNvPr>
        <xdr:cNvSpPr txBox="1"/>
      </xdr:nvSpPr>
      <xdr:spPr>
        <a:xfrm>
          <a:off x="581025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590550</xdr:colOff>
      <xdr:row>58</xdr:row>
      <xdr:rowOff>95250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53267B5-B831-4510-9DB6-4CA75B6CA666}"/>
            </a:ext>
          </a:extLst>
        </xdr:cNvPr>
        <xdr:cNvSpPr txBox="1"/>
      </xdr:nvSpPr>
      <xdr:spPr>
        <a:xfrm>
          <a:off x="1895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590550</xdr:colOff>
      <xdr:row>58</xdr:row>
      <xdr:rowOff>95250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4D0173F-F08A-4A6D-8FCE-EB167A202E6D}"/>
            </a:ext>
          </a:extLst>
        </xdr:cNvPr>
        <xdr:cNvSpPr txBox="1"/>
      </xdr:nvSpPr>
      <xdr:spPr>
        <a:xfrm>
          <a:off x="32004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133d\Documents\C%20Drive%20Data\RVIMA%20Reporting\PTO%202020%20-%202021%20PTO%20Bugdet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2020-21"/>
      <sheetName val="2018-19 Monthly Actuals (2)"/>
      <sheetName val="Budget Summary 2020-21 (2)"/>
      <sheetName val="2020-21 Monthly Budgets "/>
      <sheetName val="2020-21 Detail Spend "/>
      <sheetName val="Budget Summaries 2019-20"/>
      <sheetName val="2018-19 Monthly Actuals"/>
      <sheetName val="2019-20 Detail Spend"/>
      <sheetName val="5.7.18"/>
      <sheetName val="6.11.18"/>
      <sheetName val="6.30.18"/>
    </sheetNames>
    <sheetDataSet>
      <sheetData sheetId="0"/>
      <sheetData sheetId="1"/>
      <sheetData sheetId="2"/>
      <sheetData sheetId="3">
        <row r="16">
          <cell r="P16">
            <v>0</v>
          </cell>
        </row>
        <row r="28">
          <cell r="P28">
            <v>0</v>
          </cell>
        </row>
        <row r="29">
          <cell r="P29">
            <v>0</v>
          </cell>
        </row>
        <row r="38">
          <cell r="P38">
            <v>0</v>
          </cell>
        </row>
        <row r="39">
          <cell r="P39">
            <v>500</v>
          </cell>
        </row>
        <row r="41">
          <cell r="P41">
            <v>0</v>
          </cell>
        </row>
        <row r="71">
          <cell r="P71">
            <v>0</v>
          </cell>
        </row>
      </sheetData>
      <sheetData sheetId="4"/>
      <sheetData sheetId="5"/>
      <sheetData sheetId="6">
        <row r="27">
          <cell r="O27">
            <v>0</v>
          </cell>
        </row>
        <row r="28">
          <cell r="O28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90F9-8C1A-481F-88A6-611A43CBF836}">
  <sheetPr>
    <tabColor rgb="FF7030A0"/>
    <pageSetUpPr fitToPage="1"/>
  </sheetPr>
  <dimension ref="A1:O92"/>
  <sheetViews>
    <sheetView tabSelected="1" zoomScaleNormal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I89" sqref="I89"/>
    </sheetView>
  </sheetViews>
  <sheetFormatPr defaultColWidth="9.1328125" defaultRowHeight="12.75" x14ac:dyDescent="0.45"/>
  <cols>
    <col min="1" max="1" width="33.3984375" style="1" customWidth="1"/>
    <col min="2" max="5" width="12.86328125" style="1" customWidth="1"/>
    <col min="6" max="6" width="13.73046875" style="1" customWidth="1"/>
    <col min="7" max="7" width="12.86328125" style="1" customWidth="1"/>
    <col min="8" max="8" width="13.73046875" style="2" customWidth="1"/>
    <col min="9" max="9" width="12.86328125" style="1" customWidth="1"/>
    <col min="10" max="10" width="14.1328125" style="1" customWidth="1"/>
    <col min="11" max="16384" width="9.1328125" style="1"/>
  </cols>
  <sheetData>
    <row r="1" spans="1:12" ht="18" customHeight="1" thickBot="1" x14ac:dyDescent="0.45">
      <c r="A1" s="100" t="s">
        <v>90</v>
      </c>
      <c r="B1" s="100"/>
      <c r="C1" s="100"/>
      <c r="D1" s="100"/>
      <c r="I1" s="99" t="s">
        <v>89</v>
      </c>
      <c r="L1" s="98" t="s">
        <v>88</v>
      </c>
    </row>
    <row r="2" spans="1:12" ht="13.15" x14ac:dyDescent="0.4">
      <c r="A2" s="97"/>
      <c r="B2" s="1" t="s">
        <v>87</v>
      </c>
      <c r="C2" s="1" t="s">
        <v>87</v>
      </c>
      <c r="D2" s="1" t="s">
        <v>87</v>
      </c>
      <c r="E2" s="1" t="s">
        <v>87</v>
      </c>
      <c r="F2" s="1" t="s">
        <v>87</v>
      </c>
      <c r="G2" s="1" t="s">
        <v>87</v>
      </c>
      <c r="H2" s="2" t="s">
        <v>87</v>
      </c>
      <c r="I2" s="96" t="s">
        <v>86</v>
      </c>
    </row>
    <row r="3" spans="1:12" ht="13.15" x14ac:dyDescent="0.4">
      <c r="A3" s="34"/>
      <c r="B3" s="70" t="s">
        <v>57</v>
      </c>
      <c r="C3" s="68">
        <v>800</v>
      </c>
      <c r="D3" s="70" t="s">
        <v>57</v>
      </c>
      <c r="E3" s="68" t="s">
        <v>58</v>
      </c>
      <c r="F3" s="69" t="s">
        <v>57</v>
      </c>
      <c r="G3" s="68" t="s">
        <v>58</v>
      </c>
      <c r="H3" s="67" t="s">
        <v>57</v>
      </c>
      <c r="I3" s="71" t="s">
        <v>58</v>
      </c>
      <c r="J3" s="65" t="s">
        <v>57</v>
      </c>
      <c r="L3" s="1" t="s">
        <v>85</v>
      </c>
    </row>
    <row r="4" spans="1:12" ht="13.15" x14ac:dyDescent="0.4">
      <c r="A4" s="34"/>
      <c r="B4" s="70" t="s">
        <v>84</v>
      </c>
      <c r="C4" s="68" t="s">
        <v>56</v>
      </c>
      <c r="D4" s="70" t="s">
        <v>84</v>
      </c>
      <c r="E4" s="68" t="s">
        <v>56</v>
      </c>
      <c r="F4" s="69" t="s">
        <v>84</v>
      </c>
      <c r="G4" s="68" t="s">
        <v>56</v>
      </c>
      <c r="H4" s="67" t="s">
        <v>84</v>
      </c>
      <c r="I4" s="71" t="s">
        <v>56</v>
      </c>
      <c r="J4" s="65" t="s">
        <v>84</v>
      </c>
    </row>
    <row r="5" spans="1:12" ht="13.15" x14ac:dyDescent="0.4">
      <c r="A5" s="34"/>
      <c r="B5" s="70"/>
      <c r="C5" s="68"/>
      <c r="D5" s="70"/>
      <c r="E5" s="68"/>
      <c r="F5" s="69"/>
      <c r="G5" s="68"/>
      <c r="H5" s="67"/>
      <c r="I5" s="71"/>
      <c r="J5" s="65"/>
    </row>
    <row r="6" spans="1:12" ht="13.15" x14ac:dyDescent="0.4">
      <c r="A6" s="34"/>
      <c r="B6" s="70" t="s">
        <v>83</v>
      </c>
      <c r="C6" s="68" t="s">
        <v>83</v>
      </c>
      <c r="D6" s="70" t="s">
        <v>82</v>
      </c>
      <c r="E6" s="68" t="s">
        <v>82</v>
      </c>
      <c r="F6" s="69" t="s">
        <v>81</v>
      </c>
      <c r="G6" s="68" t="s">
        <v>81</v>
      </c>
      <c r="H6" s="67" t="s">
        <v>52</v>
      </c>
      <c r="I6" s="66" t="s">
        <v>52</v>
      </c>
      <c r="J6" s="65" t="s">
        <v>80</v>
      </c>
    </row>
    <row r="7" spans="1:12" ht="13.15" x14ac:dyDescent="0.4">
      <c r="A7" s="95" t="s">
        <v>79</v>
      </c>
      <c r="B7" s="94"/>
      <c r="C7" s="34"/>
      <c r="D7" s="94"/>
      <c r="E7" s="34"/>
      <c r="F7" s="93"/>
      <c r="G7" s="34"/>
      <c r="H7" s="92"/>
      <c r="I7" s="91"/>
      <c r="J7" s="90"/>
    </row>
    <row r="8" spans="1:12" x14ac:dyDescent="0.35">
      <c r="A8" s="34" t="s">
        <v>78</v>
      </c>
      <c r="B8" s="31">
        <v>42385.73</v>
      </c>
      <c r="C8" s="29">
        <v>28323.919999999998</v>
      </c>
      <c r="D8" s="31">
        <v>28323.919999999998</v>
      </c>
      <c r="E8" s="29">
        <v>27920.91</v>
      </c>
      <c r="F8" s="49">
        <v>26251.16</v>
      </c>
      <c r="G8" s="29">
        <v>26251.16</v>
      </c>
      <c r="H8" s="48">
        <v>46592.21</v>
      </c>
      <c r="I8" s="27">
        <v>45161.840000000004</v>
      </c>
      <c r="J8" s="47">
        <f>+I89</f>
        <v>43456.54</v>
      </c>
    </row>
    <row r="9" spans="1:12" x14ac:dyDescent="0.35">
      <c r="A9" s="34" t="s">
        <v>77</v>
      </c>
      <c r="B9" s="31">
        <v>80</v>
      </c>
      <c r="C9" s="29">
        <v>80</v>
      </c>
      <c r="D9" s="31">
        <v>80</v>
      </c>
      <c r="E9" s="29">
        <v>80</v>
      </c>
      <c r="F9" s="49">
        <v>249.56</v>
      </c>
      <c r="G9" s="29">
        <v>3414.5600000000004</v>
      </c>
      <c r="H9" s="48">
        <v>250</v>
      </c>
      <c r="I9" s="27">
        <v>3439.56</v>
      </c>
      <c r="J9" s="47">
        <f>+I90</f>
        <v>1774.23</v>
      </c>
    </row>
    <row r="10" spans="1:12" x14ac:dyDescent="0.35">
      <c r="A10" s="34" t="s">
        <v>76</v>
      </c>
      <c r="B10" s="31">
        <v>-296.49</v>
      </c>
      <c r="C10" s="29">
        <f>-103.12-40-42.3-217.59</f>
        <v>-403.01</v>
      </c>
      <c r="D10" s="31">
        <f>-103.12-40-42.3-217.59</f>
        <v>-403.01</v>
      </c>
      <c r="E10" s="29">
        <v>0</v>
      </c>
      <c r="F10" s="49"/>
      <c r="G10" s="29">
        <v>-591</v>
      </c>
      <c r="H10" s="48"/>
      <c r="I10" s="27">
        <v>-12.24</v>
      </c>
      <c r="J10" s="47"/>
    </row>
    <row r="11" spans="1:12" x14ac:dyDescent="0.35">
      <c r="A11" s="76" t="s">
        <v>75</v>
      </c>
      <c r="B11" s="75">
        <f>SUM(B8:B10)</f>
        <v>42169.240000000005</v>
      </c>
      <c r="C11" s="75">
        <f>SUM(C8:C10)</f>
        <v>28000.91</v>
      </c>
      <c r="D11" s="75">
        <f>SUM(D8:D10)</f>
        <v>28000.91</v>
      </c>
      <c r="E11" s="75">
        <f>SUM(E8:E10)</f>
        <v>28000.91</v>
      </c>
      <c r="F11" s="75">
        <f>SUM(F8:F10)</f>
        <v>26500.720000000001</v>
      </c>
      <c r="G11" s="75">
        <f>SUM(G8:G10)</f>
        <v>29074.720000000001</v>
      </c>
      <c r="H11" s="74">
        <f>SUM(H8:H10)</f>
        <v>46842.21</v>
      </c>
      <c r="I11" s="73">
        <f>SUM(I8:I10)</f>
        <v>48589.16</v>
      </c>
      <c r="J11" s="72">
        <f>SUM(J8:J10)</f>
        <v>45230.770000000004</v>
      </c>
    </row>
    <row r="12" spans="1:12" x14ac:dyDescent="0.35">
      <c r="A12" s="34" t="s">
        <v>74</v>
      </c>
      <c r="B12" s="31">
        <v>0</v>
      </c>
      <c r="C12" s="29">
        <f>700+90.77+18.9+593.21</f>
        <v>1402.88</v>
      </c>
      <c r="D12" s="31">
        <v>0</v>
      </c>
      <c r="E12" s="29">
        <f>0.97+799+14-824.24+164.83</f>
        <v>154.56000000000003</v>
      </c>
      <c r="F12" s="49">
        <v>0</v>
      </c>
      <c r="G12" s="29">
        <v>150.19</v>
      </c>
      <c r="H12" s="48">
        <v>0</v>
      </c>
      <c r="I12" s="27">
        <f>2225.58-197.65</f>
        <v>2027.9299999999998</v>
      </c>
      <c r="J12" s="47">
        <v>0</v>
      </c>
    </row>
    <row r="13" spans="1:12" x14ac:dyDescent="0.35">
      <c r="A13" s="34" t="s">
        <v>73</v>
      </c>
      <c r="B13" s="31">
        <v>0</v>
      </c>
      <c r="C13" s="29">
        <f>492.46+144.68+100+135.18+100+116.52+50.74-144.68+58.26+537.24+39.12+60</f>
        <v>1689.5199999999998</v>
      </c>
      <c r="D13" s="31">
        <v>0</v>
      </c>
      <c r="E13" s="29">
        <f>91.52+35.48+4000+97.1+77.68+30.29+77.68+55.21+30+116.8+97.97+39.99</f>
        <v>4749.7200000000012</v>
      </c>
      <c r="F13" s="49">
        <v>0</v>
      </c>
      <c r="G13" s="29">
        <v>2155.81</v>
      </c>
      <c r="H13" s="48">
        <v>0</v>
      </c>
      <c r="I13" s="27">
        <v>997.71</v>
      </c>
      <c r="J13" s="47">
        <v>0</v>
      </c>
    </row>
    <row r="14" spans="1:12" ht="13.15" x14ac:dyDescent="0.4">
      <c r="A14" s="50" t="s">
        <v>72</v>
      </c>
      <c r="B14" s="31"/>
      <c r="C14" s="29"/>
      <c r="D14" s="31"/>
      <c r="E14" s="29"/>
      <c r="F14" s="49"/>
      <c r="G14" s="29"/>
      <c r="H14" s="48"/>
      <c r="I14" s="27"/>
      <c r="J14" s="47"/>
    </row>
    <row r="15" spans="1:12" ht="13.15" x14ac:dyDescent="0.4">
      <c r="A15" s="34" t="s">
        <v>40</v>
      </c>
      <c r="B15" s="31"/>
      <c r="C15" s="29"/>
      <c r="D15" s="31"/>
      <c r="E15" s="29"/>
      <c r="F15" s="49"/>
      <c r="G15" s="29"/>
      <c r="H15" s="48"/>
      <c r="I15" s="63">
        <v>0</v>
      </c>
      <c r="J15" s="47">
        <f>+'[1]2020-21 Monthly Budgets '!P16</f>
        <v>0</v>
      </c>
      <c r="K15" s="25"/>
    </row>
    <row r="16" spans="1:12" ht="13.15" x14ac:dyDescent="0.35">
      <c r="A16" s="34" t="s">
        <v>71</v>
      </c>
      <c r="B16" s="31">
        <v>0</v>
      </c>
      <c r="C16" s="29">
        <v>5000</v>
      </c>
      <c r="D16" s="31">
        <v>0</v>
      </c>
      <c r="E16" s="29">
        <f>41+6300</f>
        <v>6341</v>
      </c>
      <c r="F16" s="49">
        <v>0</v>
      </c>
      <c r="G16" s="29">
        <v>4200</v>
      </c>
      <c r="H16" s="48">
        <v>0</v>
      </c>
      <c r="I16" s="27">
        <v>6200</v>
      </c>
      <c r="J16" s="47">
        <v>0</v>
      </c>
      <c r="K16" s="25"/>
    </row>
    <row r="17" spans="1:14" x14ac:dyDescent="0.35">
      <c r="A17" s="34" t="s">
        <v>70</v>
      </c>
      <c r="B17" s="31"/>
      <c r="C17" s="29"/>
      <c r="D17" s="31"/>
      <c r="E17" s="29"/>
      <c r="F17" s="49"/>
      <c r="G17" s="29">
        <v>2308.21</v>
      </c>
      <c r="H17" s="48"/>
      <c r="I17" s="27">
        <v>0</v>
      </c>
      <c r="J17" s="47"/>
    </row>
    <row r="18" spans="1:14" x14ac:dyDescent="0.35">
      <c r="A18" s="34" t="s">
        <v>69</v>
      </c>
      <c r="B18" s="31"/>
      <c r="C18" s="29"/>
      <c r="D18" s="31">
        <v>500</v>
      </c>
      <c r="E18" s="29">
        <f>318.64</f>
        <v>318.64</v>
      </c>
      <c r="F18" s="49">
        <v>0</v>
      </c>
      <c r="G18" s="29">
        <v>0</v>
      </c>
      <c r="H18" s="48">
        <v>0</v>
      </c>
      <c r="I18" s="27">
        <v>402.96</v>
      </c>
      <c r="J18" s="47">
        <v>0</v>
      </c>
    </row>
    <row r="19" spans="1:14" x14ac:dyDescent="0.35">
      <c r="A19" s="32" t="s">
        <v>39</v>
      </c>
      <c r="B19" s="31">
        <v>8000</v>
      </c>
      <c r="C19" s="29">
        <f>765.33+879.02+2257.04+2534.54+1518.29</f>
        <v>7954.22</v>
      </c>
      <c r="D19" s="31">
        <v>8000</v>
      </c>
      <c r="E19" s="29">
        <f>7449.48+16.99+196.1+60+40</f>
        <v>7762.57</v>
      </c>
      <c r="F19" s="49">
        <v>8000</v>
      </c>
      <c r="G19" s="29">
        <v>7740.47</v>
      </c>
      <c r="H19" s="48">
        <v>8000</v>
      </c>
      <c r="I19" s="27">
        <v>7473.91</v>
      </c>
      <c r="J19" s="47">
        <v>8000</v>
      </c>
    </row>
    <row r="20" spans="1:14" ht="13.15" x14ac:dyDescent="0.35">
      <c r="A20" s="60" t="s">
        <v>68</v>
      </c>
      <c r="B20" s="45">
        <v>45000</v>
      </c>
      <c r="C20" s="44">
        <f>150+75+55+150+4658.03+1350+140+50+250+250+6098.79+955+430+570+525+25+3246.26+875+150+300+245+2310+725+12611.86+9828.04+50+2643.76+141+290+50</f>
        <v>49197.740000000005</v>
      </c>
      <c r="D20" s="45">
        <v>44000</v>
      </c>
      <c r="E20" s="44">
        <f>300+400+200+900+1842.49+1114.84+625.09+72.52+1716.56+145.86+900+765.58+1163.7+159.61+916.08+606.27+363.52+1429.52+217.87+460.32+800+1042.62+1105.44+266.72+291.75+1241.07+242.45+72.93+500+823.84+2181.43+203.61+200+436.35+218.8+538+629.94+289.35+1888.64+411.47+250+860.87+447.33+8397.48+581.69+208.46+2105+400+2415+675.35+600+267.44+7575+200</f>
        <v>52667.86</v>
      </c>
      <c r="F20" s="82">
        <v>48000</v>
      </c>
      <c r="G20" s="44">
        <v>60937.85</v>
      </c>
      <c r="H20" s="81">
        <v>50000</v>
      </c>
      <c r="I20" s="89">
        <v>5486.82</v>
      </c>
      <c r="J20" s="47">
        <v>50000</v>
      </c>
      <c r="K20" s="25"/>
      <c r="L20" s="25"/>
      <c r="M20" s="25"/>
      <c r="N20" s="25"/>
    </row>
    <row r="21" spans="1:14" ht="13.15" x14ac:dyDescent="0.35">
      <c r="A21" s="32" t="s">
        <v>67</v>
      </c>
      <c r="B21" s="57"/>
      <c r="C21" s="55"/>
      <c r="D21" s="57"/>
      <c r="E21" s="55"/>
      <c r="F21" s="56"/>
      <c r="G21" s="55"/>
      <c r="H21" s="54"/>
      <c r="I21" s="88">
        <f>53.5+51.95+92.2</f>
        <v>197.65</v>
      </c>
      <c r="J21" s="26"/>
      <c r="K21" s="25"/>
      <c r="L21" s="25"/>
      <c r="M21" s="25"/>
      <c r="N21" s="25"/>
    </row>
    <row r="22" spans="1:14" ht="13.15" x14ac:dyDescent="0.35">
      <c r="A22" s="60" t="s">
        <v>66</v>
      </c>
      <c r="B22" s="45">
        <v>0</v>
      </c>
      <c r="C22" s="44">
        <f>2097.5+540.4</f>
        <v>2637.9</v>
      </c>
      <c r="D22" s="45">
        <v>2500</v>
      </c>
      <c r="E22" s="44">
        <f>627.8+323.9</f>
        <v>951.69999999999993</v>
      </c>
      <c r="F22" s="82">
        <v>1000</v>
      </c>
      <c r="G22" s="44">
        <v>516.29999999999995</v>
      </c>
      <c r="H22" s="81">
        <v>500</v>
      </c>
      <c r="I22" s="27">
        <v>1188.21</v>
      </c>
      <c r="J22" s="47">
        <v>500</v>
      </c>
      <c r="K22" s="25"/>
      <c r="L22" s="25"/>
      <c r="M22" s="25"/>
      <c r="N22" s="25"/>
    </row>
    <row r="23" spans="1:14" x14ac:dyDescent="0.35">
      <c r="A23" s="76" t="s">
        <v>65</v>
      </c>
      <c r="B23" s="75">
        <f>SUM(B16:B22)</f>
        <v>53000</v>
      </c>
      <c r="C23" s="75">
        <f>SUM(C16:C22)</f>
        <v>64789.860000000008</v>
      </c>
      <c r="D23" s="75">
        <f>SUM(D16:D22)</f>
        <v>55000</v>
      </c>
      <c r="E23" s="75">
        <f>SUM(E16:E22)</f>
        <v>68041.77</v>
      </c>
      <c r="F23" s="75">
        <f>SUM(F16:F22)</f>
        <v>57000</v>
      </c>
      <c r="G23" s="75">
        <f>SUM(G16:G22)</f>
        <v>75702.83</v>
      </c>
      <c r="H23" s="74">
        <f>SUM(H16:H22)</f>
        <v>58500</v>
      </c>
      <c r="I23" s="73">
        <f>SUM(I16:I22)</f>
        <v>20949.55</v>
      </c>
      <c r="J23" s="72">
        <f>SUM(J16:J22)</f>
        <v>58500</v>
      </c>
    </row>
    <row r="24" spans="1:14" x14ac:dyDescent="0.35">
      <c r="A24" s="34" t="s">
        <v>64</v>
      </c>
      <c r="B24" s="31">
        <v>1750</v>
      </c>
      <c r="C24" s="29">
        <f>1390+301.01+195+50+10</f>
        <v>1946.01</v>
      </c>
      <c r="D24" s="31">
        <v>1750</v>
      </c>
      <c r="E24" s="29">
        <f>9.72+170+370+60+491.06+40+110+143.25+620+19.12+19.12+4.55</f>
        <v>2056.8200000000002</v>
      </c>
      <c r="F24" s="49">
        <v>1750</v>
      </c>
      <c r="G24" s="29">
        <v>2543.3300000000004</v>
      </c>
      <c r="H24" s="48">
        <v>2000</v>
      </c>
      <c r="I24" s="27">
        <v>2207.7399999999998</v>
      </c>
      <c r="J24" s="47">
        <v>2000.0000000000002</v>
      </c>
    </row>
    <row r="25" spans="1:14" x14ac:dyDescent="0.35">
      <c r="A25" s="60" t="s">
        <v>63</v>
      </c>
      <c r="B25" s="45">
        <v>500</v>
      </c>
      <c r="C25" s="44">
        <f>83+85+207.08+22+18+40+10</f>
        <v>465.08000000000004</v>
      </c>
      <c r="D25" s="45">
        <v>0</v>
      </c>
      <c r="E25" s="44">
        <f>60+105+95+40+138+27+10+40+13</f>
        <v>528</v>
      </c>
      <c r="F25" s="82">
        <v>0</v>
      </c>
      <c r="G25" s="44">
        <v>474.49</v>
      </c>
      <c r="H25" s="81">
        <v>400</v>
      </c>
      <c r="I25" s="27">
        <v>5550</v>
      </c>
      <c r="J25" s="47">
        <v>400</v>
      </c>
    </row>
    <row r="26" spans="1:14" x14ac:dyDescent="0.35">
      <c r="A26" s="60" t="s">
        <v>62</v>
      </c>
      <c r="B26" s="45">
        <v>0</v>
      </c>
      <c r="C26" s="44">
        <v>590</v>
      </c>
      <c r="D26" s="45">
        <v>0</v>
      </c>
      <c r="E26" s="44">
        <f>1793+30</f>
        <v>1823</v>
      </c>
      <c r="F26" s="82">
        <v>0</v>
      </c>
      <c r="G26" s="44">
        <v>1565</v>
      </c>
      <c r="H26" s="81">
        <v>1300</v>
      </c>
      <c r="I26" s="27">
        <v>1440</v>
      </c>
      <c r="J26" s="47">
        <v>1300</v>
      </c>
    </row>
    <row r="27" spans="1:14" hidden="1" x14ac:dyDescent="0.35">
      <c r="A27" s="87" t="s">
        <v>61</v>
      </c>
      <c r="B27" s="86">
        <v>700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5">
        <v>0</v>
      </c>
      <c r="I27" s="84">
        <f>+'[1]2018-19 Monthly Actuals'!O27</f>
        <v>0</v>
      </c>
      <c r="J27" s="83">
        <f>+'[1]2020-21 Monthly Budgets '!P28</f>
        <v>0</v>
      </c>
    </row>
    <row r="28" spans="1:14" x14ac:dyDescent="0.35">
      <c r="A28" s="60" t="s">
        <v>60</v>
      </c>
      <c r="B28" s="45">
        <v>0</v>
      </c>
      <c r="C28" s="44">
        <f>574</f>
        <v>574</v>
      </c>
      <c r="D28" s="45">
        <v>0</v>
      </c>
      <c r="E28" s="44">
        <v>0</v>
      </c>
      <c r="F28" s="82">
        <v>0</v>
      </c>
      <c r="G28" s="44">
        <v>0</v>
      </c>
      <c r="H28" s="81">
        <v>0</v>
      </c>
      <c r="I28" s="27">
        <f>+'[1]2018-19 Monthly Actuals'!O28</f>
        <v>0</v>
      </c>
      <c r="J28" s="47">
        <f>+'[1]2020-21 Monthly Budgets '!P29</f>
        <v>0</v>
      </c>
    </row>
    <row r="29" spans="1:14" ht="13.15" x14ac:dyDescent="0.4">
      <c r="A29" s="50"/>
      <c r="B29" s="80">
        <f>SUM(B24:B28)</f>
        <v>2950</v>
      </c>
      <c r="C29" s="80">
        <f>SUM(C24:C28)</f>
        <v>3575.09</v>
      </c>
      <c r="D29" s="80">
        <f>SUM(D24:D28)</f>
        <v>1750</v>
      </c>
      <c r="E29" s="80">
        <f>SUM(E24:E28)</f>
        <v>4407.82</v>
      </c>
      <c r="F29" s="80">
        <f>SUM(F24:F28)</f>
        <v>1750</v>
      </c>
      <c r="G29" s="80">
        <f>SUM(G24:G28)</f>
        <v>4582.8200000000006</v>
      </c>
      <c r="H29" s="79">
        <f>SUM(H24:H28)</f>
        <v>3700</v>
      </c>
      <c r="I29" s="78">
        <f>SUM(I24:I28)</f>
        <v>9197.74</v>
      </c>
      <c r="J29" s="77">
        <f>SUM(J24:J28)</f>
        <v>3700</v>
      </c>
    </row>
    <row r="30" spans="1:14" x14ac:dyDescent="0.35">
      <c r="A30" s="76" t="s">
        <v>59</v>
      </c>
      <c r="B30" s="75">
        <f>SUM(B12:B28)-B23</f>
        <v>55950</v>
      </c>
      <c r="C30" s="75">
        <f>SUM(C12:C28)-C23</f>
        <v>71457.349999999977</v>
      </c>
      <c r="D30" s="75">
        <f>SUM(D12:D28)-D23</f>
        <v>56750</v>
      </c>
      <c r="E30" s="75">
        <f>SUM(E12:E28)-E23</f>
        <v>77353.87000000001</v>
      </c>
      <c r="F30" s="75">
        <f>SUM(F12:F28)-F23</f>
        <v>58750</v>
      </c>
      <c r="G30" s="75">
        <f>SUM(G12:G28)-G23</f>
        <v>82591.64999999998</v>
      </c>
      <c r="H30" s="74">
        <f>SUM(H12:H28)-H23</f>
        <v>62200</v>
      </c>
      <c r="I30" s="73">
        <f>SUM(I12:I28)-I23</f>
        <v>33172.929999999993</v>
      </c>
      <c r="J30" s="72">
        <f>SUM(J12:J28)-J23</f>
        <v>62200</v>
      </c>
    </row>
    <row r="31" spans="1:14" ht="12.75" customHeight="1" x14ac:dyDescent="0.4">
      <c r="A31" s="34"/>
      <c r="B31" s="70" t="s">
        <v>57</v>
      </c>
      <c r="C31" s="68" t="s">
        <v>58</v>
      </c>
      <c r="D31" s="70" t="s">
        <v>57</v>
      </c>
      <c r="E31" s="68" t="s">
        <v>58</v>
      </c>
      <c r="F31" s="69" t="s">
        <v>57</v>
      </c>
      <c r="G31" s="68" t="s">
        <v>58</v>
      </c>
      <c r="H31" s="67" t="s">
        <v>57</v>
      </c>
      <c r="I31" s="71" t="s">
        <v>58</v>
      </c>
      <c r="J31" s="65" t="s">
        <v>57</v>
      </c>
    </row>
    <row r="32" spans="1:14" ht="12.75" customHeight="1" x14ac:dyDescent="0.4">
      <c r="A32" s="34"/>
      <c r="B32" s="70" t="s">
        <v>55</v>
      </c>
      <c r="C32" s="68" t="s">
        <v>56</v>
      </c>
      <c r="D32" s="70" t="s">
        <v>55</v>
      </c>
      <c r="E32" s="68" t="s">
        <v>56</v>
      </c>
      <c r="F32" s="69" t="s">
        <v>55</v>
      </c>
      <c r="G32" s="68" t="s">
        <v>56</v>
      </c>
      <c r="H32" s="67" t="s">
        <v>55</v>
      </c>
      <c r="I32" s="71" t="s">
        <v>56</v>
      </c>
      <c r="J32" s="65" t="s">
        <v>55</v>
      </c>
    </row>
    <row r="33" spans="1:15" ht="12.75" customHeight="1" x14ac:dyDescent="0.4">
      <c r="A33" s="34"/>
      <c r="B33" s="70" t="s">
        <v>54</v>
      </c>
      <c r="C33" s="68" t="s">
        <v>54</v>
      </c>
      <c r="D33" s="70" t="s">
        <v>53</v>
      </c>
      <c r="E33" s="68" t="s">
        <v>53</v>
      </c>
      <c r="F33" s="69" t="s">
        <v>51</v>
      </c>
      <c r="G33" s="68" t="s">
        <v>53</v>
      </c>
      <c r="H33" s="67" t="s">
        <v>51</v>
      </c>
      <c r="I33" s="66" t="s">
        <v>52</v>
      </c>
      <c r="J33" s="65" t="s">
        <v>51</v>
      </c>
    </row>
    <row r="34" spans="1:15" ht="12.75" customHeight="1" x14ac:dyDescent="0.4">
      <c r="A34" s="24" t="s">
        <v>50</v>
      </c>
      <c r="B34" s="31"/>
      <c r="C34" s="29"/>
      <c r="D34" s="31"/>
      <c r="E34" s="29"/>
      <c r="F34" s="49"/>
      <c r="G34" s="29"/>
      <c r="H34" s="48"/>
      <c r="I34" s="27"/>
      <c r="J34" s="47"/>
    </row>
    <row r="35" spans="1:15" ht="12.75" customHeight="1" x14ac:dyDescent="0.35">
      <c r="A35" s="34" t="s">
        <v>49</v>
      </c>
      <c r="B35" s="31">
        <v>725</v>
      </c>
      <c r="C35" s="29">
        <f>149.22+34.74+34.74+34.74+34.74+42.24+35.99+36.7+73.62+51.47-13-13</f>
        <v>502.20000000000005</v>
      </c>
      <c r="D35" s="31">
        <v>725</v>
      </c>
      <c r="E35" s="29">
        <f>34.74+34.74+34.74+15+192.72</f>
        <v>311.94</v>
      </c>
      <c r="F35" s="30">
        <v>0</v>
      </c>
      <c r="G35" s="29">
        <v>0</v>
      </c>
      <c r="H35" s="28">
        <v>0</v>
      </c>
      <c r="I35" s="27">
        <v>0</v>
      </c>
      <c r="J35" s="33">
        <f>+'[1]2020-21 Monthly Budgets '!P38</f>
        <v>0</v>
      </c>
    </row>
    <row r="36" spans="1:15" ht="12.75" customHeight="1" x14ac:dyDescent="0.4">
      <c r="A36" s="34" t="s">
        <v>48</v>
      </c>
      <c r="B36" s="31">
        <v>500</v>
      </c>
      <c r="C36" s="29">
        <v>500</v>
      </c>
      <c r="D36" s="31">
        <v>500</v>
      </c>
      <c r="E36" s="29">
        <f>500</f>
        <v>500</v>
      </c>
      <c r="F36" s="30">
        <v>500</v>
      </c>
      <c r="G36" s="29">
        <v>0</v>
      </c>
      <c r="H36" s="28">
        <v>500</v>
      </c>
      <c r="I36" s="63">
        <v>0</v>
      </c>
      <c r="J36" s="33">
        <f>+'[1]2020-21 Monthly Budgets '!P39</f>
        <v>500</v>
      </c>
    </row>
    <row r="37" spans="1:15" ht="12.75" customHeight="1" x14ac:dyDescent="0.4">
      <c r="A37" s="60" t="s">
        <v>47</v>
      </c>
      <c r="B37" s="45">
        <v>10000</v>
      </c>
      <c r="C37" s="44">
        <f>500+575+950+420-210+1675+3612.5+1600</f>
        <v>9122.5</v>
      </c>
      <c r="D37" s="45">
        <v>10000</v>
      </c>
      <c r="E37" s="44">
        <f>537.5+875+1750+1350+800+750-400+1050</f>
        <v>6712.5</v>
      </c>
      <c r="F37" s="30">
        <v>10000</v>
      </c>
      <c r="G37" s="44">
        <v>4795</v>
      </c>
      <c r="H37" s="28">
        <v>7000</v>
      </c>
      <c r="I37" s="42">
        <v>3285</v>
      </c>
      <c r="J37" s="64">
        <v>4250</v>
      </c>
      <c r="K37" s="25"/>
      <c r="L37" s="25"/>
      <c r="M37" s="25"/>
    </row>
    <row r="38" spans="1:15" ht="12.75" customHeight="1" x14ac:dyDescent="0.35">
      <c r="A38" s="60" t="s">
        <v>46</v>
      </c>
      <c r="B38" s="45">
        <v>1593.5</v>
      </c>
      <c r="C38" s="44">
        <f>751.5+852</f>
        <v>1603.5</v>
      </c>
      <c r="D38" s="45">
        <f>325+362.5</f>
        <v>687.5</v>
      </c>
      <c r="E38" s="44">
        <v>687.5</v>
      </c>
      <c r="F38" s="30">
        <v>0</v>
      </c>
      <c r="G38" s="44">
        <v>0</v>
      </c>
      <c r="H38" s="28">
        <v>0</v>
      </c>
      <c r="I38" s="27">
        <v>0</v>
      </c>
      <c r="J38" s="33">
        <f>+'[1]2020-21 Monthly Budgets '!P41</f>
        <v>0</v>
      </c>
    </row>
    <row r="39" spans="1:15" ht="12.75" customHeight="1" x14ac:dyDescent="0.35">
      <c r="A39" s="34" t="s">
        <v>45</v>
      </c>
      <c r="B39" s="31">
        <v>60</v>
      </c>
      <c r="C39" s="29">
        <v>60</v>
      </c>
      <c r="D39" s="31">
        <v>60</v>
      </c>
      <c r="E39" s="29">
        <v>60</v>
      </c>
      <c r="F39" s="30">
        <v>60</v>
      </c>
      <c r="G39" s="29">
        <v>680.9</v>
      </c>
      <c r="H39" s="28">
        <v>350</v>
      </c>
      <c r="I39" s="27">
        <v>50</v>
      </c>
      <c r="J39" s="33">
        <v>350</v>
      </c>
    </row>
    <row r="40" spans="1:15" ht="12.75" customHeight="1" x14ac:dyDescent="0.35">
      <c r="A40" s="34" t="s">
        <v>44</v>
      </c>
      <c r="B40" s="31">
        <v>2000</v>
      </c>
      <c r="C40" s="29">
        <v>0</v>
      </c>
      <c r="D40" s="31">
        <v>1000</v>
      </c>
      <c r="E40" s="29">
        <f>987.68</f>
        <v>987.68</v>
      </c>
      <c r="F40" s="30">
        <v>1000</v>
      </c>
      <c r="G40" s="29">
        <v>0</v>
      </c>
      <c r="H40" s="28">
        <v>1000</v>
      </c>
      <c r="I40" s="27">
        <v>0</v>
      </c>
      <c r="J40" s="33">
        <v>1000</v>
      </c>
    </row>
    <row r="41" spans="1:15" ht="12.75" customHeight="1" x14ac:dyDescent="0.4">
      <c r="A41" s="34" t="s">
        <v>43</v>
      </c>
      <c r="B41" s="31">
        <v>100</v>
      </c>
      <c r="C41" s="29">
        <f>151.26+391.7</f>
        <v>542.96</v>
      </c>
      <c r="D41" s="31">
        <v>400</v>
      </c>
      <c r="E41" s="29">
        <f>82.86+124.76</f>
        <v>207.62</v>
      </c>
      <c r="F41" s="30">
        <v>400</v>
      </c>
      <c r="G41" s="29">
        <v>0</v>
      </c>
      <c r="H41" s="28">
        <v>250</v>
      </c>
      <c r="I41" s="63">
        <v>177.94</v>
      </c>
      <c r="J41" s="62">
        <v>250</v>
      </c>
      <c r="M41" s="61"/>
    </row>
    <row r="42" spans="1:15" ht="12.75" customHeight="1" x14ac:dyDescent="0.4">
      <c r="A42" s="34"/>
      <c r="B42" s="23">
        <f>SUM(B35:B41)</f>
        <v>14978.5</v>
      </c>
      <c r="C42" s="23">
        <f>SUM(C35:C41)</f>
        <v>12331.16</v>
      </c>
      <c r="D42" s="23">
        <f>SUM(D35:D41)</f>
        <v>13372.5</v>
      </c>
      <c r="E42" s="23">
        <f>SUM(E35:E41)</f>
        <v>9467.2400000000016</v>
      </c>
      <c r="F42" s="23">
        <f>SUM(F35:F41)</f>
        <v>11960</v>
      </c>
      <c r="G42" s="23">
        <f>SUM(G35:G41)</f>
        <v>5475.9</v>
      </c>
      <c r="H42" s="22">
        <f>SUM(H35:H41)</f>
        <v>9100</v>
      </c>
      <c r="I42" s="21">
        <f>SUM(I35:I41)</f>
        <v>3512.94</v>
      </c>
      <c r="J42" s="20">
        <f>SUM(J35:J41)</f>
        <v>6350</v>
      </c>
    </row>
    <row r="43" spans="1:15" ht="12.75" customHeight="1" x14ac:dyDescent="0.4">
      <c r="A43" s="50" t="s">
        <v>42</v>
      </c>
      <c r="B43" s="31"/>
      <c r="C43" s="29"/>
      <c r="D43" s="31"/>
      <c r="E43" s="29"/>
      <c r="F43" s="49"/>
      <c r="G43" s="29"/>
      <c r="H43" s="48"/>
      <c r="I43" s="27"/>
      <c r="J43" s="47"/>
    </row>
    <row r="44" spans="1:15" ht="12.75" customHeight="1" x14ac:dyDescent="0.35">
      <c r="A44" s="34" t="s">
        <v>41</v>
      </c>
      <c r="B44" s="31">
        <v>300</v>
      </c>
      <c r="C44" s="29">
        <v>0</v>
      </c>
      <c r="D44" s="31">
        <v>0</v>
      </c>
      <c r="E44" s="29">
        <f>16.59</f>
        <v>16.59</v>
      </c>
      <c r="F44" s="30">
        <v>50</v>
      </c>
      <c r="G44" s="29">
        <v>0</v>
      </c>
      <c r="H44" s="28">
        <v>50</v>
      </c>
      <c r="I44" s="27">
        <v>25</v>
      </c>
      <c r="J44" s="33">
        <v>50</v>
      </c>
    </row>
    <row r="45" spans="1:15" ht="12.75" customHeight="1" x14ac:dyDescent="0.35">
      <c r="A45" s="34" t="s">
        <v>40</v>
      </c>
      <c r="B45" s="31"/>
      <c r="C45" s="29"/>
      <c r="D45" s="31"/>
      <c r="E45" s="29"/>
      <c r="F45" s="49"/>
      <c r="G45" s="29">
        <v>78.88</v>
      </c>
      <c r="H45" s="48">
        <v>100</v>
      </c>
      <c r="I45" s="27">
        <v>0</v>
      </c>
      <c r="J45" s="47">
        <v>100</v>
      </c>
    </row>
    <row r="46" spans="1:15" ht="12.75" customHeight="1" x14ac:dyDescent="0.35">
      <c r="A46" s="32" t="s">
        <v>39</v>
      </c>
      <c r="B46" s="31">
        <v>8000</v>
      </c>
      <c r="C46" s="29">
        <f>202+7760.13</f>
        <v>7962.13</v>
      </c>
      <c r="D46" s="31">
        <v>8000</v>
      </c>
      <c r="E46" s="29">
        <f>7613.15+45.26+195.39</f>
        <v>7853.8</v>
      </c>
      <c r="F46" s="30">
        <v>8000</v>
      </c>
      <c r="G46" s="29">
        <v>7746.05</v>
      </c>
      <c r="H46" s="28">
        <v>8000</v>
      </c>
      <c r="I46" s="27">
        <v>7501.72</v>
      </c>
      <c r="J46" s="26">
        <v>8000</v>
      </c>
    </row>
    <row r="47" spans="1:15" ht="12.75" customHeight="1" x14ac:dyDescent="0.35">
      <c r="A47" s="34" t="s">
        <v>38</v>
      </c>
      <c r="B47" s="31">
        <v>0</v>
      </c>
      <c r="C47" s="29">
        <f>31.57+86.2+62.99+50</f>
        <v>230.76000000000002</v>
      </c>
      <c r="D47" s="31">
        <v>250</v>
      </c>
      <c r="E47" s="29">
        <v>0</v>
      </c>
      <c r="F47" s="30">
        <v>250</v>
      </c>
      <c r="G47" s="29">
        <v>24081.039999999997</v>
      </c>
      <c r="H47" s="28">
        <v>200</v>
      </c>
      <c r="I47" s="27">
        <v>0</v>
      </c>
      <c r="J47" s="33">
        <v>200</v>
      </c>
    </row>
    <row r="48" spans="1:15" ht="12.75" customHeight="1" x14ac:dyDescent="0.4">
      <c r="A48" s="34" t="s">
        <v>37</v>
      </c>
      <c r="B48" s="31">
        <v>18000</v>
      </c>
      <c r="C48" s="29">
        <f>2500+93.9+244.58+235+235+27.41+180+245+20+20+103.96+295.03+73.97+7687.5+249+180.86+522.64+3397.5+15+14.16+31.52+1031.57+183.2+3397.5+165+253.59+901.62</f>
        <v>22304.510000000002</v>
      </c>
      <c r="D48" s="31">
        <v>17000</v>
      </c>
      <c r="E48" s="29">
        <f>500+20+20+120+120+36.81+176.07+45.23+103.9+61.5+153.3+257.02+4000+12920+25.2+33.19+805.2+345</f>
        <v>19742.420000000002</v>
      </c>
      <c r="F48" s="30">
        <v>20000</v>
      </c>
      <c r="G48" s="29">
        <v>0</v>
      </c>
      <c r="H48" s="28">
        <v>21000</v>
      </c>
      <c r="I48" s="59">
        <v>3855.42</v>
      </c>
      <c r="J48" s="33">
        <v>18500</v>
      </c>
      <c r="K48" s="25"/>
      <c r="L48" s="41"/>
      <c r="M48" s="41"/>
      <c r="N48" s="41"/>
      <c r="O48" s="41"/>
    </row>
    <row r="49" spans="1:11" ht="12.75" customHeight="1" x14ac:dyDescent="0.35">
      <c r="A49" s="34" t="s">
        <v>36</v>
      </c>
      <c r="B49" s="31"/>
      <c r="C49" s="29"/>
      <c r="D49" s="31">
        <f>345+150+406.01</f>
        <v>901.01</v>
      </c>
      <c r="E49" s="29">
        <f>345+150+406.01</f>
        <v>901.01</v>
      </c>
      <c r="F49" s="30">
        <v>0</v>
      </c>
      <c r="G49" s="29">
        <v>0</v>
      </c>
      <c r="H49" s="28">
        <v>0</v>
      </c>
      <c r="I49" s="27">
        <v>0</v>
      </c>
      <c r="J49" s="33">
        <v>0</v>
      </c>
    </row>
    <row r="50" spans="1:11" ht="12.75" customHeight="1" x14ac:dyDescent="0.35">
      <c r="A50" s="34" t="s">
        <v>35</v>
      </c>
      <c r="B50" s="31">
        <v>0</v>
      </c>
      <c r="C50" s="29">
        <v>574</v>
      </c>
      <c r="D50" s="31">
        <v>0</v>
      </c>
      <c r="E50" s="29">
        <v>0</v>
      </c>
      <c r="F50" s="30">
        <v>0</v>
      </c>
      <c r="G50" s="29">
        <v>0</v>
      </c>
      <c r="H50" s="28">
        <v>0</v>
      </c>
      <c r="I50" s="27">
        <v>0</v>
      </c>
      <c r="J50" s="33">
        <v>0</v>
      </c>
    </row>
    <row r="51" spans="1:11" ht="12.75" customHeight="1" x14ac:dyDescent="0.35">
      <c r="A51" s="39" t="s">
        <v>34</v>
      </c>
      <c r="B51" s="38">
        <f>SUM(B44:B50)</f>
        <v>26300</v>
      </c>
      <c r="C51" s="38">
        <f>SUM(C44:C50)</f>
        <v>31071.4</v>
      </c>
      <c r="D51" s="38">
        <f>SUM(D44:D50)</f>
        <v>26151.01</v>
      </c>
      <c r="E51" s="38">
        <f>SUM(E44:E50)</f>
        <v>28513.82</v>
      </c>
      <c r="F51" s="38">
        <f>SUM(F44:F50)</f>
        <v>28300</v>
      </c>
      <c r="G51" s="38">
        <f>SUM(G44:G50)</f>
        <v>31905.969999999998</v>
      </c>
      <c r="H51" s="37">
        <f>SUM(H44:H50)</f>
        <v>29350</v>
      </c>
      <c r="I51" s="36">
        <f>SUM(I44:I50)</f>
        <v>11382.14</v>
      </c>
      <c r="J51" s="35">
        <f>SUM(J44:J50)</f>
        <v>26850</v>
      </c>
    </row>
    <row r="52" spans="1:11" ht="12.75" customHeight="1" x14ac:dyDescent="0.35">
      <c r="A52" s="34" t="s">
        <v>33</v>
      </c>
      <c r="B52" s="31">
        <v>250</v>
      </c>
      <c r="C52" s="29">
        <f>50+75+50</f>
        <v>175</v>
      </c>
      <c r="D52" s="31">
        <v>250</v>
      </c>
      <c r="E52" s="29">
        <f>110+75+105.95+105.95+55.95+100+15.11</f>
        <v>567.95999999999992</v>
      </c>
      <c r="F52" s="30">
        <v>250</v>
      </c>
      <c r="G52" s="29">
        <v>225</v>
      </c>
      <c r="H52" s="28">
        <v>500</v>
      </c>
      <c r="I52" s="27">
        <v>250.41</v>
      </c>
      <c r="J52" s="33">
        <v>500</v>
      </c>
    </row>
    <row r="53" spans="1:11" ht="12.75" customHeight="1" x14ac:dyDescent="0.35">
      <c r="A53" s="34" t="s">
        <v>32</v>
      </c>
      <c r="B53" s="31">
        <v>1500</v>
      </c>
      <c r="C53" s="29">
        <v>1500</v>
      </c>
      <c r="D53" s="31">
        <v>1000</v>
      </c>
      <c r="E53" s="29">
        <v>980.23</v>
      </c>
      <c r="F53" s="30">
        <v>1000</v>
      </c>
      <c r="G53" s="29">
        <v>535.36</v>
      </c>
      <c r="H53" s="28">
        <v>1000</v>
      </c>
      <c r="I53" s="27">
        <v>771.42</v>
      </c>
      <c r="J53" s="33">
        <v>1000</v>
      </c>
    </row>
    <row r="54" spans="1:11" ht="12.75" customHeight="1" x14ac:dyDescent="0.35">
      <c r="A54" s="34" t="s">
        <v>31</v>
      </c>
      <c r="B54" s="31">
        <v>300</v>
      </c>
      <c r="C54" s="29">
        <f>200</f>
        <v>200</v>
      </c>
      <c r="D54" s="31">
        <v>200</v>
      </c>
      <c r="E54" s="29">
        <v>200</v>
      </c>
      <c r="F54" s="30">
        <v>200</v>
      </c>
      <c r="G54" s="29">
        <v>200</v>
      </c>
      <c r="H54" s="28">
        <v>200</v>
      </c>
      <c r="I54" s="27">
        <v>175</v>
      </c>
      <c r="J54" s="33">
        <v>200</v>
      </c>
    </row>
    <row r="55" spans="1:11" ht="12.75" customHeight="1" x14ac:dyDescent="0.4">
      <c r="A55" s="60" t="s">
        <v>30</v>
      </c>
      <c r="B55" s="45">
        <v>8000</v>
      </c>
      <c r="C55" s="44">
        <f>283.31+487.77-37.8+149.69+69.9+80.04+72.84+53.43+223.92+305.59+264.76+144.18+122.76+244+270.2+240.2+40.99</f>
        <v>3015.7799999999997</v>
      </c>
      <c r="D55" s="45">
        <v>5000</v>
      </c>
      <c r="E55" s="44">
        <f>100.77+263.2+344.75+8*(297.5)+429.99+591</f>
        <v>4109.71</v>
      </c>
      <c r="F55" s="30">
        <v>5000</v>
      </c>
      <c r="G55" s="44">
        <v>65.89</v>
      </c>
      <c r="H55" s="28">
        <v>5000</v>
      </c>
      <c r="I55" s="59">
        <v>2488.4</v>
      </c>
      <c r="J55" s="26">
        <v>5000</v>
      </c>
      <c r="K55" s="25"/>
    </row>
    <row r="56" spans="1:11" ht="12.75" customHeight="1" x14ac:dyDescent="0.35">
      <c r="A56" s="34" t="s">
        <v>29</v>
      </c>
      <c r="B56" s="31">
        <v>1240</v>
      </c>
      <c r="C56" s="29">
        <f>356.5+1240-356.5</f>
        <v>1240</v>
      </c>
      <c r="D56" s="31"/>
      <c r="E56" s="29">
        <f>485</f>
        <v>485</v>
      </c>
      <c r="F56" s="30">
        <v>591</v>
      </c>
      <c r="G56" s="29">
        <v>0</v>
      </c>
      <c r="H56" s="28">
        <v>0</v>
      </c>
      <c r="I56" s="27">
        <v>0</v>
      </c>
      <c r="J56" s="33">
        <v>0</v>
      </c>
    </row>
    <row r="57" spans="1:11" ht="12.75" customHeight="1" x14ac:dyDescent="0.35">
      <c r="A57" s="34" t="s">
        <v>28</v>
      </c>
      <c r="B57" s="31">
        <v>500</v>
      </c>
      <c r="C57" s="29">
        <f>280</f>
        <v>280</v>
      </c>
      <c r="D57" s="31">
        <v>400</v>
      </c>
      <c r="E57" s="29">
        <f>300</f>
        <v>300</v>
      </c>
      <c r="F57" s="30">
        <v>400</v>
      </c>
      <c r="G57" s="29">
        <v>0</v>
      </c>
      <c r="H57" s="28">
        <v>0</v>
      </c>
      <c r="I57" s="27">
        <v>0</v>
      </c>
      <c r="J57" s="33">
        <v>0</v>
      </c>
    </row>
    <row r="58" spans="1:11" ht="12.75" customHeight="1" x14ac:dyDescent="0.35">
      <c r="A58" s="34" t="s">
        <v>27</v>
      </c>
      <c r="B58" s="31">
        <v>100</v>
      </c>
      <c r="C58" s="29">
        <f>20+20</f>
        <v>40</v>
      </c>
      <c r="D58" s="31">
        <v>100</v>
      </c>
      <c r="E58" s="29">
        <v>100</v>
      </c>
      <c r="F58" s="30">
        <v>100</v>
      </c>
      <c r="G58" s="29">
        <v>0</v>
      </c>
      <c r="H58" s="28">
        <v>100</v>
      </c>
      <c r="I58" s="27">
        <v>100</v>
      </c>
      <c r="J58" s="33">
        <v>100</v>
      </c>
    </row>
    <row r="59" spans="1:11" ht="12.75" customHeight="1" x14ac:dyDescent="0.35">
      <c r="A59" s="34" t="s">
        <v>26</v>
      </c>
      <c r="B59" s="31">
        <v>600</v>
      </c>
      <c r="C59" s="29">
        <f>89.01+134.34+107.96+141.25+60.84+96+350+82.87</f>
        <v>1062.27</v>
      </c>
      <c r="D59" s="31">
        <v>600</v>
      </c>
      <c r="E59" s="29">
        <f>54.43+30.94+54.22+83.43+46.9</f>
        <v>269.92</v>
      </c>
      <c r="F59" s="30">
        <v>500</v>
      </c>
      <c r="G59" s="29">
        <v>0</v>
      </c>
      <c r="H59" s="28">
        <v>500</v>
      </c>
      <c r="I59" s="58">
        <v>0</v>
      </c>
      <c r="J59" s="33">
        <v>500</v>
      </c>
    </row>
    <row r="60" spans="1:11" ht="12.75" customHeight="1" x14ac:dyDescent="0.35">
      <c r="A60" s="34" t="s">
        <v>25</v>
      </c>
      <c r="B60" s="31">
        <v>200</v>
      </c>
      <c r="C60" s="29">
        <f>8.5</f>
        <v>8.5</v>
      </c>
      <c r="D60" s="31">
        <v>200</v>
      </c>
      <c r="E60" s="29">
        <f>169.44+40</f>
        <v>209.44</v>
      </c>
      <c r="F60" s="30">
        <v>200</v>
      </c>
      <c r="G60" s="29">
        <v>301.47000000000003</v>
      </c>
      <c r="H60" s="28">
        <v>200</v>
      </c>
      <c r="I60" s="27">
        <v>291</v>
      </c>
      <c r="J60" s="33">
        <v>200</v>
      </c>
    </row>
    <row r="61" spans="1:11" ht="12.75" customHeight="1" x14ac:dyDescent="0.35">
      <c r="A61" s="32" t="s">
        <v>24</v>
      </c>
      <c r="B61" s="57"/>
      <c r="C61" s="55"/>
      <c r="D61" s="57"/>
      <c r="E61" s="55"/>
      <c r="F61" s="56"/>
      <c r="G61" s="55"/>
      <c r="H61" s="54"/>
      <c r="I61" s="53">
        <f>15.85+30.58+29.4+35</f>
        <v>110.83</v>
      </c>
      <c r="J61" s="26">
        <v>300</v>
      </c>
      <c r="K61" s="25"/>
    </row>
    <row r="62" spans="1:11" ht="12.75" customHeight="1" x14ac:dyDescent="0.35">
      <c r="A62" s="34" t="s">
        <v>23</v>
      </c>
      <c r="B62" s="31">
        <v>500</v>
      </c>
      <c r="C62" s="29">
        <f>96.1+18.63+29.98+9.8+56.8+106.86</f>
        <v>318.17</v>
      </c>
      <c r="D62" s="31">
        <v>400</v>
      </c>
      <c r="E62" s="29">
        <f>9.8+9.8+200.05+10+36.28+10</f>
        <v>275.93</v>
      </c>
      <c r="F62" s="30">
        <v>400</v>
      </c>
      <c r="G62" s="29">
        <v>599.96999999999991</v>
      </c>
      <c r="H62" s="28">
        <v>475</v>
      </c>
      <c r="I62" s="27">
        <f>131.29-110.83</f>
        <v>20.459999999999994</v>
      </c>
      <c r="J62" s="33">
        <v>475</v>
      </c>
    </row>
    <row r="63" spans="1:11" ht="12.75" customHeight="1" x14ac:dyDescent="0.4">
      <c r="A63" s="50" t="s">
        <v>22</v>
      </c>
      <c r="B63" s="23">
        <f>SUM(B52:B62)</f>
        <v>13190</v>
      </c>
      <c r="C63" s="23">
        <f>SUM(C52:C62)</f>
        <v>7839.7199999999993</v>
      </c>
      <c r="D63" s="23">
        <f>SUM(D52:D62)</f>
        <v>8150</v>
      </c>
      <c r="E63" s="23">
        <f>SUM(E52:E62)</f>
        <v>7498.19</v>
      </c>
      <c r="F63" s="23">
        <f>SUM(F52:F62)</f>
        <v>8641</v>
      </c>
      <c r="G63" s="23">
        <f>SUM(G52:G62)</f>
        <v>1927.69</v>
      </c>
      <c r="H63" s="22">
        <f>SUM(H52:H62)</f>
        <v>7975</v>
      </c>
      <c r="I63" s="21">
        <f>SUM(I52:I62)</f>
        <v>4207.5200000000004</v>
      </c>
      <c r="J63" s="20">
        <f>SUM(J52:J62)</f>
        <v>8275</v>
      </c>
    </row>
    <row r="64" spans="1:11" ht="12.75" customHeight="1" x14ac:dyDescent="0.35">
      <c r="A64" s="32" t="s">
        <v>21</v>
      </c>
      <c r="B64" s="31">
        <v>8500</v>
      </c>
      <c r="C64" s="29">
        <f>541.8+500+1500+1550+1150+3314.5-2700-180+2000+335</f>
        <v>8011.2999999999993</v>
      </c>
      <c r="D64" s="31">
        <v>8500</v>
      </c>
      <c r="E64" s="29">
        <f>2600+921.5+75+320+812.5+450+812.5+1200+450+248.16+960</f>
        <v>8849.66</v>
      </c>
      <c r="F64" s="30">
        <v>8500</v>
      </c>
      <c r="G64" s="29">
        <v>11266.42</v>
      </c>
      <c r="H64" s="28">
        <v>10000</v>
      </c>
      <c r="I64" s="27">
        <v>5771.5</v>
      </c>
      <c r="J64" s="26">
        <v>10700</v>
      </c>
      <c r="K64" s="25"/>
    </row>
    <row r="65" spans="1:13" ht="12.75" customHeight="1" x14ac:dyDescent="0.35">
      <c r="A65" s="34" t="s">
        <v>20</v>
      </c>
      <c r="B65" s="31">
        <v>4000</v>
      </c>
      <c r="C65" s="29">
        <f>2500+406.35+948.14</f>
        <v>3854.49</v>
      </c>
      <c r="D65" s="31">
        <v>4000</v>
      </c>
      <c r="E65" s="29">
        <f>1600+825+600</f>
        <v>3025</v>
      </c>
      <c r="F65" s="30">
        <v>0</v>
      </c>
      <c r="G65" s="29">
        <v>0</v>
      </c>
      <c r="H65" s="28">
        <v>3000</v>
      </c>
      <c r="I65" s="27">
        <v>0</v>
      </c>
      <c r="J65" s="33">
        <v>3000</v>
      </c>
    </row>
    <row r="66" spans="1:13" ht="12.75" hidden="1" customHeight="1" x14ac:dyDescent="0.35">
      <c r="A66" s="34" t="s">
        <v>19</v>
      </c>
      <c r="B66" s="31">
        <v>4000</v>
      </c>
      <c r="C66" s="29">
        <v>4000</v>
      </c>
      <c r="D66" s="31">
        <v>0</v>
      </c>
      <c r="E66" s="29">
        <v>0</v>
      </c>
      <c r="F66" s="30">
        <v>0</v>
      </c>
      <c r="G66" s="29">
        <v>0</v>
      </c>
      <c r="H66" s="28">
        <v>0</v>
      </c>
      <c r="I66" s="27">
        <v>0</v>
      </c>
      <c r="J66" s="33">
        <v>0</v>
      </c>
    </row>
    <row r="67" spans="1:13" ht="12.75" customHeight="1" x14ac:dyDescent="0.35">
      <c r="A67" s="52" t="s">
        <v>18</v>
      </c>
      <c r="B67" s="31">
        <v>6800</v>
      </c>
      <c r="C67" s="29">
        <f>302.29+101.4+400+493+150+1274+100+40.3+475+335+42.3+650+103.12+96.15+550+430+180</f>
        <v>5722.56</v>
      </c>
      <c r="D67" s="31">
        <v>8000</v>
      </c>
      <c r="E67" s="29">
        <f>150+400+39.84+320+86.4+63.92+16+1188+119.31+895+150+19.84+291.96-895+235.92+525+642+150+500+1250+750+280+180+430+209</f>
        <v>7997.1900000000005</v>
      </c>
      <c r="F67" s="30">
        <v>12000</v>
      </c>
      <c r="G67" s="29">
        <v>4643.74</v>
      </c>
      <c r="H67" s="28">
        <v>8000</v>
      </c>
      <c r="I67" s="27">
        <v>680</v>
      </c>
      <c r="J67" s="26">
        <v>8800</v>
      </c>
      <c r="K67" s="25"/>
    </row>
    <row r="68" spans="1:13" ht="12.75" customHeight="1" x14ac:dyDescent="0.35">
      <c r="A68" s="51" t="s">
        <v>17</v>
      </c>
      <c r="B68" s="31">
        <v>0</v>
      </c>
      <c r="C68" s="29">
        <v>0</v>
      </c>
      <c r="D68" s="31">
        <v>450</v>
      </c>
      <c r="E68" s="29">
        <v>0</v>
      </c>
      <c r="F68" s="30">
        <v>280</v>
      </c>
      <c r="G68" s="29">
        <v>0</v>
      </c>
      <c r="H68" s="28">
        <v>0</v>
      </c>
      <c r="I68" s="27">
        <v>0</v>
      </c>
      <c r="J68" s="33">
        <f>+'[1]2020-21 Monthly Budgets '!P71</f>
        <v>0</v>
      </c>
    </row>
    <row r="69" spans="1:13" ht="12.75" customHeight="1" x14ac:dyDescent="0.35">
      <c r="A69" s="39" t="s">
        <v>16</v>
      </c>
      <c r="B69" s="38">
        <f>SUM(B64:B68)</f>
        <v>23300</v>
      </c>
      <c r="C69" s="38">
        <f>SUM(C64:C68)</f>
        <v>21588.35</v>
      </c>
      <c r="D69" s="38">
        <f>SUM(D64:D68)</f>
        <v>20950</v>
      </c>
      <c r="E69" s="38">
        <f>SUM(E64:E68)</f>
        <v>19871.849999999999</v>
      </c>
      <c r="F69" s="38">
        <f>SUM(F64:F68)</f>
        <v>20780</v>
      </c>
      <c r="G69" s="38">
        <f>SUM(G64:G68)</f>
        <v>15910.16</v>
      </c>
      <c r="H69" s="37">
        <f>SUM(H64:H68)</f>
        <v>21000</v>
      </c>
      <c r="I69" s="36">
        <f>SUM(I64:I68)</f>
        <v>6451.5</v>
      </c>
      <c r="J69" s="35">
        <f>SUM(J64:J68)</f>
        <v>22500</v>
      </c>
    </row>
    <row r="70" spans="1:13" ht="12.75" customHeight="1" x14ac:dyDescent="0.4">
      <c r="A70" s="50" t="s">
        <v>15</v>
      </c>
      <c r="B70" s="31"/>
      <c r="C70" s="29"/>
      <c r="D70" s="31"/>
      <c r="E70" s="29"/>
      <c r="F70" s="49"/>
      <c r="G70" s="29"/>
      <c r="H70" s="48"/>
      <c r="I70" s="27"/>
      <c r="J70" s="47"/>
    </row>
    <row r="71" spans="1:13" ht="12.75" customHeight="1" x14ac:dyDescent="0.35">
      <c r="A71" s="32" t="s">
        <v>14</v>
      </c>
      <c r="B71" s="31">
        <v>700</v>
      </c>
      <c r="C71" s="29">
        <f>100+820</f>
        <v>920</v>
      </c>
      <c r="D71" s="31">
        <v>700</v>
      </c>
      <c r="E71" s="29">
        <f>55.2+22.63+40.97+525+75.78</f>
        <v>719.57999999999993</v>
      </c>
      <c r="F71" s="30">
        <v>700</v>
      </c>
      <c r="G71" s="29">
        <v>513.36</v>
      </c>
      <c r="H71" s="28">
        <v>700</v>
      </c>
      <c r="I71" s="27">
        <v>593.95000000000005</v>
      </c>
      <c r="J71" s="26">
        <v>800</v>
      </c>
      <c r="K71" s="25"/>
    </row>
    <row r="72" spans="1:13" ht="12.75" customHeight="1" x14ac:dyDescent="0.35">
      <c r="A72" s="46" t="s">
        <v>13</v>
      </c>
      <c r="B72" s="45">
        <v>0</v>
      </c>
      <c r="C72" s="44">
        <v>0</v>
      </c>
      <c r="D72" s="45">
        <v>0</v>
      </c>
      <c r="E72" s="44">
        <v>0</v>
      </c>
      <c r="F72" s="30">
        <v>0</v>
      </c>
      <c r="G72" s="44">
        <v>0</v>
      </c>
      <c r="H72" s="28">
        <v>500</v>
      </c>
      <c r="I72" s="27">
        <v>453.96000000000004</v>
      </c>
      <c r="J72" s="33">
        <v>500</v>
      </c>
    </row>
    <row r="73" spans="1:13" ht="12.75" customHeight="1" x14ac:dyDescent="0.35">
      <c r="A73" s="43" t="s">
        <v>12</v>
      </c>
      <c r="B73" s="31">
        <v>1100</v>
      </c>
      <c r="C73" s="29">
        <f>1000+35+94.11</f>
        <v>1129.1099999999999</v>
      </c>
      <c r="D73" s="31">
        <v>1100</v>
      </c>
      <c r="E73" s="29">
        <f>900+112+43.18</f>
        <v>1055.18</v>
      </c>
      <c r="F73" s="30">
        <v>1200</v>
      </c>
      <c r="G73" s="29">
        <v>1061.81</v>
      </c>
      <c r="H73" s="28">
        <v>1200</v>
      </c>
      <c r="I73" s="42">
        <v>0</v>
      </c>
      <c r="J73" s="26">
        <v>1400</v>
      </c>
      <c r="K73" s="25"/>
      <c r="L73" s="41"/>
      <c r="M73" s="41"/>
    </row>
    <row r="74" spans="1:13" ht="12.75" customHeight="1" x14ac:dyDescent="0.35">
      <c r="A74" s="34" t="s">
        <v>11</v>
      </c>
      <c r="B74" s="31">
        <v>300</v>
      </c>
      <c r="C74" s="29">
        <f>89.92+32.97+50.85+51.97</f>
        <v>225.71</v>
      </c>
      <c r="D74" s="31">
        <v>300</v>
      </c>
      <c r="E74" s="29">
        <f>159.37</f>
        <v>159.37</v>
      </c>
      <c r="F74" s="30">
        <v>300</v>
      </c>
      <c r="G74" s="29">
        <v>183.79</v>
      </c>
      <c r="H74" s="28">
        <v>300</v>
      </c>
      <c r="I74" s="27">
        <v>0</v>
      </c>
      <c r="J74" s="33">
        <v>300</v>
      </c>
    </row>
    <row r="75" spans="1:13" ht="12.75" customHeight="1" x14ac:dyDescent="0.35">
      <c r="A75" s="34" t="s">
        <v>10</v>
      </c>
      <c r="B75" s="31">
        <v>250</v>
      </c>
      <c r="C75" s="29">
        <v>0</v>
      </c>
      <c r="D75" s="31">
        <v>250</v>
      </c>
      <c r="E75" s="29">
        <v>0</v>
      </c>
      <c r="F75" s="30">
        <v>250</v>
      </c>
      <c r="G75" s="29">
        <v>148.72</v>
      </c>
      <c r="H75" s="28">
        <v>250</v>
      </c>
      <c r="I75" s="27">
        <v>54.06</v>
      </c>
      <c r="J75" s="33">
        <v>250</v>
      </c>
    </row>
    <row r="76" spans="1:13" ht="12.75" customHeight="1" x14ac:dyDescent="0.35">
      <c r="A76" s="34" t="s">
        <v>9</v>
      </c>
      <c r="B76" s="31">
        <v>900</v>
      </c>
      <c r="C76" s="29">
        <f>111.5+764.2</f>
        <v>875.7</v>
      </c>
      <c r="D76" s="31">
        <v>900</v>
      </c>
      <c r="E76" s="29">
        <f>195.9+946.95</f>
        <v>1142.8500000000001</v>
      </c>
      <c r="F76" s="30">
        <v>1000</v>
      </c>
      <c r="G76" s="29">
        <v>970</v>
      </c>
      <c r="H76" s="28">
        <v>1200</v>
      </c>
      <c r="I76" s="27">
        <v>1091.6000000000001</v>
      </c>
      <c r="J76" s="40">
        <v>1400</v>
      </c>
    </row>
    <row r="77" spans="1:13" ht="12.75" customHeight="1" x14ac:dyDescent="0.35">
      <c r="A77" s="39" t="s">
        <v>8</v>
      </c>
      <c r="B77" s="38">
        <f>SUM(B71:B76)</f>
        <v>3250</v>
      </c>
      <c r="C77" s="38">
        <f>SUM(C71:C76)</f>
        <v>3150.5199999999995</v>
      </c>
      <c r="D77" s="38">
        <f>SUM(D71:D76)</f>
        <v>3250</v>
      </c>
      <c r="E77" s="38">
        <f>SUM(E71:E76)</f>
        <v>3076.9800000000005</v>
      </c>
      <c r="F77" s="38">
        <f>SUM(F71:F76)</f>
        <v>3450</v>
      </c>
      <c r="G77" s="38">
        <f>SUM(G71:G76)</f>
        <v>2877.6800000000003</v>
      </c>
      <c r="H77" s="37">
        <f>SUM(H71:H76)</f>
        <v>4150</v>
      </c>
      <c r="I77" s="36">
        <f>SUM(I71:I76)</f>
        <v>2193.5700000000002</v>
      </c>
      <c r="J77" s="35">
        <f>SUM(J71:J76)</f>
        <v>4650</v>
      </c>
    </row>
    <row r="78" spans="1:13" ht="12.75" customHeight="1" x14ac:dyDescent="0.35">
      <c r="A78" s="34" t="s">
        <v>7</v>
      </c>
      <c r="B78" s="31">
        <v>15600.74</v>
      </c>
      <c r="C78" s="29">
        <f>1900+1054.49+117.34+79.99+156.2+530+36.81+300+40+530+1298.5+609.5+1298.5</f>
        <v>7951.33</v>
      </c>
      <c r="D78" s="31">
        <f>1627.96+3742.1+3357.2+350.14</f>
        <v>9077.3999999999978</v>
      </c>
      <c r="E78" s="29">
        <f>1627.96+3357.2+3652.1+27.79+301.67</f>
        <v>8966.7200000000012</v>
      </c>
      <c r="F78" s="30">
        <v>9494.7199999999993</v>
      </c>
      <c r="G78" s="29">
        <v>6407.53</v>
      </c>
      <c r="H78" s="28">
        <v>4000</v>
      </c>
      <c r="I78" s="27">
        <v>3785.94</v>
      </c>
      <c r="J78" s="33">
        <v>4000</v>
      </c>
    </row>
    <row r="79" spans="1:13" ht="12.75" customHeight="1" x14ac:dyDescent="0.35">
      <c r="A79" s="34" t="s">
        <v>6</v>
      </c>
      <c r="B79" s="31"/>
      <c r="C79" s="29">
        <f>500+600</f>
        <v>1100</v>
      </c>
      <c r="D79" s="31">
        <v>2500</v>
      </c>
      <c r="E79" s="29">
        <f>1200+650+24</f>
        <v>1874</v>
      </c>
      <c r="F79" s="30">
        <v>2500</v>
      </c>
      <c r="G79" s="29">
        <v>0</v>
      </c>
      <c r="H79" s="28">
        <v>1000</v>
      </c>
      <c r="I79" s="27">
        <v>0</v>
      </c>
      <c r="J79" s="33">
        <v>1000</v>
      </c>
    </row>
    <row r="80" spans="1:13" ht="12.75" customHeight="1" x14ac:dyDescent="0.35">
      <c r="A80" s="34" t="s">
        <v>5</v>
      </c>
      <c r="B80" s="31">
        <v>0</v>
      </c>
      <c r="C80" s="29">
        <v>0</v>
      </c>
      <c r="D80" s="31">
        <v>0</v>
      </c>
      <c r="E80" s="29">
        <f>37.97+38+193</f>
        <v>268.97000000000003</v>
      </c>
      <c r="F80" s="30">
        <v>125</v>
      </c>
      <c r="G80" s="29">
        <v>438</v>
      </c>
      <c r="H80" s="28">
        <v>400</v>
      </c>
      <c r="I80" s="27">
        <v>4997.71</v>
      </c>
      <c r="J80" s="33">
        <v>400</v>
      </c>
    </row>
    <row r="81" spans="1:11" ht="12.75" customHeight="1" x14ac:dyDescent="0.35">
      <c r="A81" s="32" t="s">
        <v>4</v>
      </c>
      <c r="B81" s="31">
        <v>1000</v>
      </c>
      <c r="C81" s="29">
        <v>254.92</v>
      </c>
      <c r="D81" s="31">
        <v>500</v>
      </c>
      <c r="E81" s="29">
        <f>187.29</f>
        <v>187.29</v>
      </c>
      <c r="F81" s="30">
        <v>0</v>
      </c>
      <c r="G81" s="29">
        <v>0</v>
      </c>
      <c r="H81" s="28">
        <v>150</v>
      </c>
      <c r="I81" s="27">
        <v>0</v>
      </c>
      <c r="J81" s="26">
        <v>0</v>
      </c>
      <c r="K81" s="25"/>
    </row>
    <row r="82" spans="1:11" ht="13.15" x14ac:dyDescent="0.4">
      <c r="A82" s="24"/>
      <c r="B82" s="23">
        <f>SUM(B78:B81)</f>
        <v>16600.739999999998</v>
      </c>
      <c r="C82" s="23">
        <f>SUM(C78:C81)</f>
        <v>9306.25</v>
      </c>
      <c r="D82" s="23">
        <f>SUM(D78:D81)</f>
        <v>12077.399999999998</v>
      </c>
      <c r="E82" s="23">
        <f>SUM(E78:E81)</f>
        <v>11296.980000000001</v>
      </c>
      <c r="F82" s="23">
        <f>SUM(F78:F81)</f>
        <v>12119.72</v>
      </c>
      <c r="G82" s="23">
        <f>SUM(G78:G81)</f>
        <v>6845.53</v>
      </c>
      <c r="H82" s="22">
        <f>SUM(H78:H81)</f>
        <v>5550</v>
      </c>
      <c r="I82" s="21">
        <f>SUM(I78:I81)</f>
        <v>8783.65</v>
      </c>
      <c r="J82" s="20">
        <f>SUM(J78:J81)</f>
        <v>5400</v>
      </c>
    </row>
    <row r="83" spans="1:11" ht="12.75" customHeight="1" x14ac:dyDescent="0.35">
      <c r="A83" s="19" t="s">
        <v>3</v>
      </c>
      <c r="B83" s="18">
        <f>+B42+B51+B63+B69+B77+B82</f>
        <v>97619.239999999991</v>
      </c>
      <c r="C83" s="18">
        <f>+C42+C51+C63+C69+C77+C82</f>
        <v>85287.400000000009</v>
      </c>
      <c r="D83" s="18">
        <f>+D42+D51+D63+D69+D77+D82</f>
        <v>83950.909999999989</v>
      </c>
      <c r="E83" s="18">
        <f>+E42+E51+E63+E69+E77+E82</f>
        <v>79725.06</v>
      </c>
      <c r="F83" s="18">
        <f>+F42+F51+F63+F69+F77+F82</f>
        <v>85250.72</v>
      </c>
      <c r="G83" s="18">
        <f>+G42+G51+G63+G69+G77+G82</f>
        <v>64942.93</v>
      </c>
      <c r="H83" s="17">
        <f>+H42+H51+H63+H69+H77+H82</f>
        <v>77125</v>
      </c>
      <c r="I83" s="16">
        <f>+I42+I51+I63+I69+I77+I82</f>
        <v>36531.32</v>
      </c>
      <c r="J83" s="15">
        <f>+J42+J51+J63+J69+J77+J82</f>
        <v>74025</v>
      </c>
    </row>
    <row r="84" spans="1:11" ht="12.75" customHeight="1" x14ac:dyDescent="0.35">
      <c r="E84" s="14"/>
      <c r="G84" s="14"/>
      <c r="I84" s="13"/>
    </row>
    <row r="85" spans="1:11" ht="13.15" x14ac:dyDescent="0.45">
      <c r="A85" s="1" t="s">
        <v>2</v>
      </c>
      <c r="B85" s="11">
        <f>+B11+B30-B83</f>
        <v>500.00000000001455</v>
      </c>
      <c r="C85" s="11">
        <f>+C11+C30-C83</f>
        <v>14170.859999999971</v>
      </c>
      <c r="D85" s="11">
        <f>+D11+D30-D83</f>
        <v>800.00000000001455</v>
      </c>
      <c r="E85" s="11">
        <f>+E11+E30-E83</f>
        <v>25629.720000000016</v>
      </c>
      <c r="F85" s="11">
        <f>+F11+F30-F83</f>
        <v>0</v>
      </c>
      <c r="G85" s="11">
        <f>+G11+G30-G83</f>
        <v>46723.439999999981</v>
      </c>
      <c r="H85" s="11">
        <f>+H11+H30-H83</f>
        <v>31917.209999999992</v>
      </c>
      <c r="I85" s="12">
        <f>+I11+I30-I83</f>
        <v>45230.77</v>
      </c>
      <c r="J85" s="11">
        <f>+J11+J30-J83</f>
        <v>33405.770000000004</v>
      </c>
      <c r="K85" s="1" t="s">
        <v>1</v>
      </c>
    </row>
    <row r="86" spans="1:11" x14ac:dyDescent="0.45">
      <c r="I86" s="10"/>
      <c r="J86" s="9"/>
    </row>
    <row r="87" spans="1:11" x14ac:dyDescent="0.45">
      <c r="I87" s="8"/>
    </row>
    <row r="88" spans="1:11" x14ac:dyDescent="0.45">
      <c r="I88" s="8"/>
    </row>
    <row r="89" spans="1:11" ht="14.25" x14ac:dyDescent="0.45">
      <c r="E89" s="6" t="s">
        <v>91</v>
      </c>
      <c r="I89" s="7">
        <v>43456.54</v>
      </c>
    </row>
    <row r="90" spans="1:11" ht="14.25" x14ac:dyDescent="0.45">
      <c r="E90" s="6" t="s">
        <v>0</v>
      </c>
      <c r="I90" s="5">
        <v>1774.23</v>
      </c>
    </row>
    <row r="91" spans="1:11" ht="13.5" thickBot="1" x14ac:dyDescent="0.5">
      <c r="I91" s="4">
        <v>45230.770000000004</v>
      </c>
    </row>
    <row r="92" spans="1:11" ht="13.15" thickBot="1" x14ac:dyDescent="0.5">
      <c r="I92" s="3"/>
    </row>
  </sheetData>
  <mergeCells count="1">
    <mergeCell ref="A1:D1"/>
  </mergeCells>
  <pageMargins left="0.2" right="0.2" top="0.25" bottom="0.25" header="0.3" footer="0.3"/>
  <pageSetup scale="7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Summary 2017-21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Cross</dc:creator>
  <cp:lastModifiedBy>Amber Cross</cp:lastModifiedBy>
  <dcterms:created xsi:type="dcterms:W3CDTF">2020-09-15T22:18:51Z</dcterms:created>
  <dcterms:modified xsi:type="dcterms:W3CDTF">2020-09-15T22:21:56Z</dcterms:modified>
</cp:coreProperties>
</file>