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D:\2018-2019\Budget\"/>
    </mc:Choice>
  </mc:AlternateContent>
  <xr:revisionPtr revIDLastSave="0" documentId="13_ncr:1_{4EE0B393-54CF-4B18-A560-BF93424BD2F8}" xr6:coauthVersionLast="43" xr6:coauthVersionMax="43" xr10:uidLastSave="{00000000-0000-0000-0000-000000000000}"/>
  <bookViews>
    <workbookView xWindow="-108" yWindow="-108" windowWidth="16608" windowHeight="8856" tabRatio="841" firstSheet="1" activeTab="1" xr2:uid="{00000000-000D-0000-FFFF-FFFF00000000}"/>
  </bookViews>
  <sheets>
    <sheet name="2015 2016 Budget" sheetId="1" state="hidden" r:id="rId1"/>
    <sheet name="2018 2019 Budget" sheetId="32" r:id="rId2"/>
  </sheets>
  <definedNames>
    <definedName name="_xlnm.Print_Titles" localSheetId="0">'2015 2016 Budget'!$1:$5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32" l="1"/>
  <c r="G11" i="32"/>
  <c r="G12" i="32"/>
  <c r="G14" i="32"/>
  <c r="G15" i="32"/>
  <c r="G16" i="32"/>
  <c r="G17" i="32"/>
  <c r="G18" i="32"/>
  <c r="G19" i="32"/>
  <c r="G20" i="32"/>
  <c r="G21" i="32"/>
  <c r="G22" i="32"/>
  <c r="G26" i="32"/>
  <c r="H10" i="32"/>
  <c r="H19" i="32"/>
  <c r="H26" i="32"/>
  <c r="I9" i="32"/>
  <c r="I83" i="32"/>
  <c r="G83" i="32"/>
  <c r="G59" i="32"/>
  <c r="G60" i="32"/>
  <c r="G62" i="32"/>
  <c r="G64" i="32"/>
  <c r="G51" i="32"/>
  <c r="G48" i="32"/>
  <c r="G37" i="32"/>
  <c r="G33" i="32"/>
  <c r="I10" i="32"/>
  <c r="I19" i="32"/>
  <c r="I26" i="32"/>
  <c r="I46" i="32"/>
  <c r="I64" i="32"/>
  <c r="I73" i="32"/>
  <c r="I79" i="32"/>
  <c r="I82" i="32"/>
  <c r="I84" i="32"/>
  <c r="H46" i="32"/>
  <c r="H64" i="32"/>
  <c r="H73" i="32"/>
  <c r="H79" i="32"/>
  <c r="G57" i="32"/>
  <c r="G31" i="32"/>
  <c r="G32" i="32"/>
  <c r="G36" i="32"/>
  <c r="G39" i="32"/>
  <c r="G40" i="32"/>
  <c r="G42" i="32"/>
  <c r="G43" i="32"/>
  <c r="G46" i="32"/>
  <c r="G52" i="32"/>
  <c r="G53" i="32"/>
  <c r="G55" i="32"/>
  <c r="G56" i="32"/>
  <c r="G66" i="32"/>
  <c r="G69" i="32"/>
  <c r="G70" i="32"/>
  <c r="G72" i="32"/>
  <c r="G73" i="32"/>
  <c r="G74" i="32"/>
  <c r="G75" i="32"/>
  <c r="G76" i="32"/>
  <c r="G77" i="32"/>
  <c r="G79" i="32"/>
  <c r="G82" i="32"/>
  <c r="G84" i="32"/>
  <c r="F74" i="32"/>
  <c r="F34" i="32"/>
  <c r="F43" i="32"/>
  <c r="B46" i="32"/>
  <c r="F19" i="32"/>
  <c r="F9" i="32"/>
  <c r="F10" i="32"/>
  <c r="F26" i="32"/>
  <c r="C10" i="32"/>
  <c r="C19" i="32"/>
  <c r="C26" i="32"/>
  <c r="D10" i="32"/>
  <c r="D19" i="32"/>
  <c r="D26" i="32"/>
  <c r="E9" i="32"/>
  <c r="E10" i="32"/>
  <c r="E11" i="32"/>
  <c r="E12" i="32"/>
  <c r="E16" i="32"/>
  <c r="E17" i="32"/>
  <c r="E18" i="32"/>
  <c r="E19" i="32"/>
  <c r="E20" i="32"/>
  <c r="E21" i="32"/>
  <c r="E24" i="32"/>
  <c r="E26" i="32"/>
  <c r="B19" i="32"/>
  <c r="F46" i="32"/>
  <c r="F64" i="32"/>
  <c r="F73" i="32"/>
  <c r="F79" i="32"/>
  <c r="E56" i="32"/>
  <c r="E60" i="32"/>
  <c r="E33" i="32"/>
  <c r="E31" i="32"/>
  <c r="E57" i="32"/>
  <c r="E42" i="32"/>
  <c r="E37" i="32"/>
  <c r="E48" i="32"/>
  <c r="E62" i="32"/>
  <c r="E74" i="32"/>
  <c r="E75" i="32"/>
  <c r="E59" i="32"/>
  <c r="E55" i="32"/>
  <c r="E51" i="32"/>
  <c r="E69" i="32"/>
  <c r="E50" i="32"/>
  <c r="E41" i="32"/>
  <c r="E54" i="32"/>
  <c r="D46" i="32"/>
  <c r="D64" i="32"/>
  <c r="D73" i="32"/>
  <c r="D79" i="32"/>
  <c r="C64" i="32"/>
  <c r="C73" i="32"/>
  <c r="C46" i="32"/>
  <c r="C79" i="32"/>
  <c r="B64" i="32"/>
  <c r="B73" i="32"/>
  <c r="B79" i="32"/>
  <c r="E66" i="32"/>
  <c r="E70" i="32"/>
  <c r="E72" i="32"/>
  <c r="E73" i="32"/>
  <c r="E64" i="32"/>
  <c r="E53" i="32"/>
  <c r="E52" i="32"/>
  <c r="E40" i="32"/>
  <c r="E46" i="32"/>
  <c r="E34" i="32"/>
  <c r="B10" i="32"/>
  <c r="I46" i="1"/>
  <c r="I64" i="1"/>
  <c r="I76" i="1"/>
  <c r="I82" i="1"/>
  <c r="H45" i="1"/>
  <c r="H63" i="1"/>
  <c r="H75" i="1"/>
  <c r="H81" i="1"/>
  <c r="G81" i="1"/>
  <c r="F45" i="1"/>
  <c r="F63" i="1"/>
  <c r="F75" i="1"/>
  <c r="F81" i="1"/>
  <c r="E45" i="1"/>
  <c r="E63" i="1"/>
  <c r="E75" i="1"/>
  <c r="E81" i="1"/>
  <c r="D45" i="1"/>
  <c r="D63" i="1"/>
  <c r="D75" i="1"/>
  <c r="D81" i="1"/>
  <c r="C45" i="1"/>
  <c r="C63" i="1"/>
  <c r="C75" i="1"/>
  <c r="C81" i="1"/>
  <c r="B45" i="1"/>
  <c r="B63" i="1"/>
  <c r="B75" i="1"/>
  <c r="B81" i="1"/>
  <c r="I10" i="1"/>
  <c r="I22" i="1"/>
  <c r="I27" i="1"/>
  <c r="H10" i="1"/>
  <c r="H21" i="1"/>
  <c r="H26" i="1"/>
  <c r="G26" i="1"/>
  <c r="F10" i="1"/>
  <c r="F21" i="1"/>
  <c r="F26" i="1"/>
  <c r="E10" i="1"/>
  <c r="E21" i="1"/>
  <c r="E26" i="1"/>
  <c r="D10" i="1"/>
  <c r="D21" i="1"/>
  <c r="D26" i="1"/>
  <c r="C10" i="1"/>
  <c r="C21" i="1"/>
  <c r="C26" i="1"/>
  <c r="B10" i="1"/>
  <c r="B21" i="1"/>
  <c r="B26" i="1"/>
  <c r="E79" i="32"/>
  <c r="B2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 Govan</author>
    <author>joep</author>
    <author>Jessica</author>
    <author>Tess Johnson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Started year with $55,312.43, September balance $44,120.02, October balance $50,376.52, November balance $39,158.85, January 2015 balance $41,081.10
March 9, 2015 balance
$41,640.13
April 13, 2015 balance
$47,698.42
April 29, 2015 balance
$77,880.30
May 26, 2015 balance 
$64,629.25
</t>
        </r>
      </text>
    </comment>
    <comment ref="I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9/15/15 $50,845.09
10/13/15 $57,357.73
11/10/15 $35,064.92
12/1/15 $38,357.83
1/12/15 $32,628.97 *$32,128.97 less $500 pass thru for Helping Hands Hanratty Family.
3/7/16 $23,124.17
4/12/16 $47,543.24
5/9/16 $54,760.09
5/25/16 $52,930.60
</t>
        </r>
      </text>
    </comment>
    <comment ref="G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2/3/15 Ck#2520 $180 Bernardsville Print Center for 50/50 raffle tix books. 
3/5/15 $200.00 Transfer from PTO account.</t>
        </r>
      </text>
    </comment>
    <comment ref="I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9/2015 $93.81 balance
2/22/16 transfer $200 into account, balance $293.81
2/24/16 ck#117 $180.00 Bernardsville Print Center.
3/1/15 ck#118 $31.03 Anna Spitaleri
4/7/16 deposit $1,715
4/8/16 deposit $430
4/11/16 deposit $1,605</t>
        </r>
      </text>
    </comment>
    <comment ref="D9" authorId="2" shapeId="0" xr:uid="{00000000-0006-0000-0000-000005000000}">
      <text>
        <r>
          <rPr>
            <sz val="8"/>
            <color indexed="81"/>
            <rFont val="Tahoma"/>
            <family val="2"/>
          </rPr>
          <t>3/3/12  $8.01 ck#2179 (STILL OPEN)</t>
        </r>
        <r>
          <rPr>
            <sz val="8"/>
            <color indexed="81"/>
            <rFont val="Tahoma"/>
            <family val="2"/>
          </rPr>
          <t xml:space="preserve">
5/18/13 $391.43 ck#2335
5/18/13 $227.49 ck#2337
6/6/13 $180.00 ck#2343
6/6/13 $425.00 ck#2344
6/6/13 $3450.00 ck#2345
6/8/13 $167.68 ck#2347
6/11/13 $570.55 ck#2348
6/11/13 $3000.00 ck#2349</t>
        </r>
      </text>
    </comment>
    <comment ref="H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3/4/15 ck#2530 $370
6/24/15 ck#2575 $20
6/29/15 ck#2578 $1000
</t>
        </r>
      </text>
    </comment>
    <comment ref="C11" authorId="2" shapeId="0" xr:uid="{00000000-0006-0000-0000-000007000000}">
      <text>
        <r>
          <rPr>
            <sz val="8"/>
            <color indexed="81"/>
            <rFont val="Tahoma"/>
            <family val="2"/>
          </rPr>
          <t xml:space="preserve">Deposit $5000.00 12/6/12 
</t>
        </r>
      </text>
    </comment>
    <comment ref="E12" authorId="3" shapeId="0" xr:uid="{00000000-0006-0000-0000-000008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1/6/14 $150 Great Clips 
2/12/14 $120 Rugers Basketball Tickets
2/20/14 $800 Devils Hockey Tickets Income
2/24/14 $350 Devils Hockey Tickets Income</t>
        </r>
      </text>
    </comment>
    <comment ref="G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
$844.00 on 10/28/14 money collected at door of Halloween Carnival on 10/24/14, 11/13/14 $750 Refund of deposit for A Vision in Motion assembly.
12/9/14 $630 cash proceeds GameNight,
1/30/15 dept for $1100, for tix to NJ Devils Hockey Game (20 tix total), 
2/23/15 dept $355 for Rutgers basketball tix from 2/22/15 game,
3/9/15 dept. $55 for NJ Devil's Hockey Tix (Fusca)
3/9/15 Dept. $480 Delicious Height's Dinner Night,
3/30/15 Dept. 4165 (Rosen) NJ Devil's Tix,
5/29/15 Dept. $200 The MAX of Bedminster,</t>
        </r>
      </text>
    </comment>
    <comment ref="C13" authorId="2" shapeId="0" xr:uid="{00000000-0006-0000-0000-00000A000000}">
      <text>
        <r>
          <rPr>
            <sz val="8"/>
            <color indexed="81"/>
            <rFont val="Tahoma"/>
            <family val="2"/>
          </rPr>
          <t>Deposit $100.00 12/6/12 Donation from Steve Goldman for Holiday Tea
Deposit $247.50 4/19/13 -Mr. Lefurge gave cash for roses billed on invoice
Deposit 5/16/13 $130.00 Teacher Appreciation luncheon ($100 Steve Goldman and $30 Jose Gonzalez)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3" shapeId="0" xr:uid="{00000000-0006-0000-0000-00000B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$100.00 Ck# 1071 Donation made by Goldman for Hospitality 
$50.00 ck#3338 donation made by Goldman for Teacher Appreciation</t>
        </r>
      </text>
    </comment>
    <comment ref="G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Laura Govan made deposit on 7/26/14 for $500 (8th grade class returned PTO donation).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6/3/16 $146 pass thru for books purchased for Kenn Nesbitt (Grade Level Program) Author visit.</t>
        </r>
      </text>
    </comment>
    <comment ref="C15" authorId="2" shapeId="0" xr:uid="{00000000-0006-0000-0000-00000E000000}">
      <text>
        <r>
          <rPr>
            <sz val="8"/>
            <color indexed="81"/>
            <rFont val="Tahoma"/>
            <family val="2"/>
          </rPr>
          <t>Deposit 9/27/12 $200 (starting cash and $41 profit from donations and tattoo sales)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3" shapeId="0" xr:uid="{00000000-0006-0000-0000-00000F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$5,200 from Bedminster Charities Fall Fest. </t>
        </r>
      </text>
    </comment>
    <comment ref="G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12/17/14 $5,200.00 Deposit from Fall Fest,</t>
        </r>
      </text>
    </comment>
    <comment ref="C16" authorId="2" shapeId="0" xr:uid="{00000000-0006-0000-0000-000011000000}">
      <text>
        <r>
          <rPr>
            <sz val="8"/>
            <color indexed="81"/>
            <rFont val="Tahoma"/>
            <family val="2"/>
          </rPr>
          <t>Deposit 11/15/12 $3000.00 (cash)
Deposit 11/15/12 $366.33 (checks)
Deposit 11/15/12 $581.36 (checks)
Deposit 11/20/12 $539.34 (checks)
Deposit 11/20/12 $4465.63 (cash)
Deposit 11/20/12 $394.37 (checks)
Deposit 12/6/12 $12.99 (check)</t>
        </r>
      </text>
    </comment>
    <comment ref="E16" authorId="3" shapeId="0" xr:uid="{00000000-0006-0000-0000-000012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Deposit BookF 9/30/13 $1184.95
Deposit BookF 10/1/13 $1127.88
Deposit BookF 10/2/13 $1662.43
Deposit BookF 10/3/13 $683.41
Deposit BookF 10/4/13 $1907.55
Deposit BookF 10/5/13 $956.13
Deposit Start Up Cash 10/5/13 $141.00
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
Marisa Austenberg dept. $1,464,02 on 9/30, $1,994.34 on 10/1, $1,914.50 on 10/2, 10/6 $1350.68, $1704.49 &amp; $155.70</t>
        </r>
      </text>
    </comment>
    <comment ref="I16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11/12/15 $5,300 Fall Fest Charities
</t>
        </r>
      </text>
    </comment>
    <comment ref="C17" authorId="2" shapeId="0" xr:uid="{00000000-0006-0000-0000-000015000000}">
      <text>
        <r>
          <rPr>
            <sz val="8"/>
            <color indexed="81"/>
            <rFont val="Tahoma"/>
            <family val="2"/>
          </rPr>
          <t>Deposit 2/5/13 $300.00 Donation by Maureen Weimer</t>
        </r>
        <r>
          <rPr>
            <sz val="8"/>
            <color indexed="81"/>
            <rFont val="Tahoma"/>
            <family val="2"/>
          </rPr>
          <t xml:space="preserve">
Deposit 2/5/13 $2445.00 Spring Fling Ads
Deposit 2/8/13 $50.00 Spring Fling Ad  Dunkin Donuts Allen Rd (cash)
Deposit 2/8/13 $115.00 Spring Fling Ad
Deposit 2/13/13 $1115.00 Spring Fling Ads
Deposit 2/13/13 $615.00 Spring Fling Ads
Deposit 2/13/13 $70.00 Spring Fling Ad Parotti (cash)
Deposit 2/15/13 $250.00 Spring Fling Ad 
Deposit 2/19/13 $115.00 Spring Fling Ad Kings Supermarket (cash)
Deposit 2/19/13 $900.00 Spring Fling Ads
Deposit 2/22/13 $345.00 Spring Fling Ads 
Deposit 2/22/13 $765.00 Spring Fling Ads
Deposit 2/22/13 $100.00 Spring Fling donation (Anonymous)
Deposit 2/15/13 $500.00 SF Epicure Foods (credit card)
Paypal 2/25/13 (Admissions) $2150.42 
Credit Card Test 2/25/13 $1.00 (admissions)
Credit Card 2/24/13 $140.00 (Admissions)
Credit Card 2/24/13 $160.00 (Admissions)
Deposit 2/26/13 $125.00 (Donations)
Deposit 2/26/13 $1740.00 (Admissions-checks)
Deposit 2/26/13 $880.00 Spring Fling Ads
Deposit 3/1/13 $735.00 Spring Fling Ads
Deposit 3/1/13 $715.00 Spring Fling Ads
Deposit 3/1/13 $35.00 Spring Fling Donation
Deposit 3/6/13 $115.00 Spring Fling Ad Chris Villani Realtor(cash)
Deposit 3/6/13 $415.00 Spring Fling Ads
Deposit 3/8/13 $975.00 Spring Fling Ads- (checks and $205 cash Pizza bros and Muha)  
Deposit 3/12/13 $960.00 Spring Fling Ads
2/20/13 Misc. $825.00 (spoke to Bank it's 2 credit cards $750 and $75- no one knows for what)
Deposit 3/12/13 $625.00 SF Donations (admissions)
Deposit 3/12/13 $180.00 SF admissions (cash deposit)
Deposit 3/12/13 $2105.00 SF admissions (checks)
Credit Card 3/10/13 $1230.00 (admissions)
Paypal 3/11/13 (Admissions) $7039.68
Deposit 3/14/13 $115.00 SF Ad
Deposit 3/14/13 $500.00 SF Ad Sylvan Learning Center (cash)
Deposit 3/16/13 $1615.00 SF Ads
Deposit 3/18/13 $100.00 SF AD -BOE cash
Deposit 3/18/13 $1765.00 Admissions 
Credit card 3/15 and 3/16 $585.00 Admissions
Deposit 3/18/13 $200.00 Admissions- Donations
Deposit 3/18/13 $1491.00 (Basket tickets night of)
Credit Card 3/16/13 $385.00 (Basket tickets night of)
Deposit 3/18/13 $4065.00 (Night of check and cash)
Credit card 3/16/13 $1545.00
Deposit 3/18/13 $4910.00
Credit Card 3/16/13 $6895.00
Credit Card 3/17/13 $2.15 (TESTS)
Deposit 3/20/13 $315.00 SF Ads
Deposit 3/22/13 $100.00 Donation (Duhl)
Deposit 3/27/13 $115.00 (SF AD Mrs. Lykes)
Deposit 4/15/13 $70.00 (SF AD Bedminster Township)
Deposit 5/1/13 $350.00 SF Silent Auction- Amy Herrick</t>
        </r>
      </text>
    </comment>
    <comment ref="E17" authorId="3" shapeId="0" xr:uid="{00000000-0006-0000-0000-000016000000}">
      <text>
        <r>
          <rPr>
            <b/>
            <sz val="9"/>
            <color indexed="81"/>
            <rFont val="Tahoma"/>
            <family val="2"/>
          </rPr>
          <t>T</t>
        </r>
        <r>
          <rPr>
            <b/>
            <sz val="8"/>
            <color indexed="81"/>
            <rFont val="Tahoma"/>
            <family val="2"/>
          </rPr>
          <t>ess Johnson:</t>
        </r>
        <r>
          <rPr>
            <sz val="8"/>
            <color indexed="81"/>
            <rFont val="Tahoma"/>
            <family val="2"/>
          </rPr>
          <t xml:space="preserve">
12/31/13 $200 SF Ads
1/21/14 $850 SF Ads
1/27/14 $615 SF Ads
2/3/14 $735 SF Ads
2/10/14 $390 SF Ads
2/22/14 $2,900 SF Ads
2/22/14 $100 Kerdman Donation
2/22/14 $100 Network for Good donation.
3/7/14 $615 SF Ads 
3/17/14 $1345 SF Ads
3/19/14 $2,030 SF Ads
3/19/14 $1,105 SF Admissions
3/21/14 $1,625 SF Ads
2/26/14 $195, 140 Credit Card
3/01/14 $195, $75 Credit Card
3/11/14 $140 Credit Card
3/13/14 $215 Credit Card
3/14/14 $6,000 Pay Pay
3/25/14 $150 Credit Card
3/26/14 $970 Ads
3/26/14 $965 Admission
3/28/14 $120, 120 Credit Card
3/29/14 $480 Ads
4/1/14 $120, $120 credit card
4/1/14 $1,419. Pay Pal Deposit
3/31/2014 $4,932.90 Pay Pal
4/2/14 $120 Credit Card
4/3/14 $120, $120, $120, credit card 
4/4/14 $70 Ads
4/4/14 $2,115 Admission
4/4/14 $150 Admission
4/4/14 $420 Admission
4/4/14 $60 Credit Card
4/5/14 $2,125 Ads
4/7/14 $4,500 silent auct.
4/7/14 $110 baskets
4/7/14 $825 baskets
4/7/14 $220 baskets
4/7/14 $60 ipad
4/7/14 $420 Admissions
4/7/14 $471 basket charge
4/7/14 $6935 ($8431 less $1025 refund) SA Charge
4/18/14 $275 silent auct.
4/28/13 $265 Ads
5/10/14 $115 Ads
5/21/14 $180.00 Transferred back from 50/50 account ticket printing charge.
6/6/2014 $1668.42 Transferred back from 50/50 account all proceeds except for $100 to keep the account open.</t>
        </r>
      </text>
    </comment>
    <comment ref="G1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Laura Govan:
DEPTS:</t>
        </r>
        <r>
          <rPr>
            <sz val="9"/>
            <color indexed="81"/>
            <rFont val="Tahoma"/>
            <family val="2"/>
          </rPr>
          <t xml:space="preserve">
Dept 9/26/14 for $350 from last year. 
1/9/12 Ck $300 Ads 
2/10/15 $275 Ads
2/23/15 $705 Ads
2/24/15 $125 Ads
1/30/15 $555.00 Ads 
2/10/15 $275 Advertising
3/3/15 $1,425 Advertising
3/9/15 $125 Advertising
3/10/15 $1,000 Ads
3/16/15 $125 Ads (cc)
3/16/15 $900 Ads
3/18/15 $555 Ads
3/23/15 $1,150 Ads
3/24/15 $1,300 Ads
3/30/15 $1,575 Ads
4/9/15 $630 Admissions (cc)
4/9/15 $1,330 Ads
4/13/15 $775 Ads
4/13/15 $2,730 Admissions (cc)
4/13/15 $3,690 Admissions (ck deposit)
4/13/15 $16,553 Admissions Paypal dept
4/14/15 $80 Admissions (cc)
4/15/15 $1,485 Admissions (ck dept)
4/16/15 $195 Admissions (cc)
4/17/15 $120 Admissions 
(ck dept) 
4/17/15 $500 Advertisement
4/20/15 $125 Advertising
4/20/15 $325.03 Admissions (CC)
4/20/15 $985 Admissions
4/20/15 $2906 Admissions
4/20/15 $3700 Silent Auction
4/27/15 $375 Advertising
4/30/15 $75 Advertising
5/13/15 $1,475 Silent Auction late payment
5/29/15 $250 Advertising
6/8/15 $70.39 transfer from 50/50 for raffle tix paid from PTO account.
6/8/15 $180 transfer from 50/50 account for raffle tix paid from PTO account.
6/8/15 $1955 transfer from 50/50 remainder of night of earrnings. </t>
        </r>
      </text>
    </comment>
    <comment ref="I17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deposits 10/1/15 for $431.94, $1,260.57, $2,132.24
deposits 10/5/15 for $157.35, $1,639.23, $2,623.86</t>
        </r>
      </text>
    </comment>
    <comment ref="I18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1/22/16 $750 Ad revenue Janjua.
2/2/16 $370 Ads (Air Service &amp; CX Ent.)
2/8/16 $400 Ads
2/17/17 $295 Ads
2/18/16 $55 Ads
2/24/16 $55 &amp; $$500 Ads
3/3/16 $950 Ads
3/11/16 $455 Ads
3/17/16 $6,429.95 Eventbrite deposit for online admissions
3/18/16 $1,375 Ads
3/18/16 $775 Ads
3/22/16 $205 Ads
3/22/16 $4,715 Admission checks
3/28/16 $400 Ads
3/30/16 $1,250 Ads
4/1/16 $375 Ads
4/4/16 $150 Ads
4/5/16 $5,548.87 Admissions Eventbrite deposit
4/6/16 $750 Ads PNC Merchant Deposit
4/8/16 $300 Cash Donation in lieu of attentance.
4/11/16 Cash Deposit $3,525 for Silent Auction.
4/11/16 Cash Deposit $1,780 for Night of baskets/iPad raffle.
4/11/16 deposit $300 for Advertising (Goldman &amp; Stevinson).
4/11/16 PNC Merchant Deposit for Credit Card purchases for Silent Auction $5,280/baskets $510/Admissions $215.
4/12/16 PNC Merchant Deposit $1100 Silent Auction 2015,
4/13/16 PNC Merchant Deposit $1050 Silent Auction 2015,
4/13/16 $650 Checks for Silent Auction 2016,
4/14/16 $1,835 Checks for Admissions &amp; Baskets,
4/15/16 $5,219.25 EventBrite Payment,
4/25/16 $795 Checks for Silent Auction 2016,
4/25/16 $150 Advertisement.
4/27/16 $575 PNC Merch Deposit for Silent Auction (2015)
4/29/16 $100 ck deposit for Silent Auction (2015)
5/9/16 Online transfer from 50/50 account of $2405.70
5/13/16 $850 PNC Deposit for silent auction
5/18/16 $215 deposit for SF Admission
5/27/16 $590 deposit for Advertising ($500) and Silent Auction ($90).</t>
        </r>
      </text>
    </comment>
    <comment ref="I19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11/2/15 $835 from Carnival/trunk or treat</t>
        </r>
      </text>
    </comment>
    <comment ref="I20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11/24/15 dept $690
12/7/15 dept $55</t>
        </r>
      </text>
    </comment>
    <comment ref="I21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2/18/16 $648 Rutger's basketball game
2/18/16 $660 Devil's Hockey game
2/24/16 $96 Rutger's Game</t>
        </r>
      </text>
    </comment>
    <comment ref="E22" authorId="3" shapeId="0" xr:uid="{00000000-0006-0000-0000-00001D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deposit 7/12/13 $48.06</t>
        </r>
      </text>
    </comment>
    <comment ref="C23" authorId="2" shapeId="0" xr:uid="{00000000-0006-0000-0000-00001E000000}">
      <text>
        <r>
          <rPr>
            <sz val="8"/>
            <color indexed="81"/>
            <rFont val="Tahoma"/>
            <family val="2"/>
          </rPr>
          <t>Deposit 6/18/12 $688.00
Deposit 8/13/12 $40.00
Deposit 9/7/12 $240.00
Deposit 9/11/12 $360.00
Deposit 9/11/12 $325.00
Deposit 9/14/12 $135.00
Deposit 9/14/12 $200.00
Deposit 9/21/12 $175.00
Deposit 10/1/12 $75.00
Deposit 10/4/12 $20.00
Deposit 10/10/12 $30.00
Deposit 10/16/12 $35.00
Deposit 10/26/12 $10.00</t>
        </r>
      </text>
    </comment>
    <comment ref="E23" authorId="3" shapeId="0" xr:uid="{00000000-0006-0000-0000-00001F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Deposit 7/12/13 $310.00 Teachers
Deposit 9/26/13 $360.00
Deposit 9/26/13 $315.00
Deposit 9/26/13 $ 80.00
Deposit 9/26/13 $130.00
Deposit 10/16/13 $370.00
Deposit 10/23/13 $60.00
Returned Check 10/9/13 ($30.00)
Deposit 11/5/13 $10.00
Deposit 12/7/13 $370.00 Teachers membership (100%)
Deposit 2/20/14 $10.00 Cameria membership</t>
        </r>
      </text>
    </comment>
    <comment ref="G2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Deposit made on 9/11/14 for $355.00, 9/12/14 deposits made for $380 &amp; $125,
Suzie Stevinson made deposit 7/21/14 for $610, 9/18/14 $130, 9/24/14 $95.00, 9/26/14 $360, 10/14/14 $145, 10/28/14 for $160, 11/13/14 $20, 11/25/14 $50</t>
        </r>
      </text>
    </comment>
    <comment ref="C24" authorId="2" shapeId="0" xr:uid="{00000000-0006-0000-0000-000021000000}">
      <text>
        <r>
          <rPr>
            <sz val="8"/>
            <color indexed="81"/>
            <rFont val="Tahoma"/>
            <family val="2"/>
          </rPr>
          <t>Deposit 12/11/12 $966.00 (Spirit wear)
Deposit 5/22/13 $924.95 Schoolkidz (paper order forms)
Deposit 5/22/13 $646.78 Schoolkidz (paper order forms)
Deposit 6/18/13 $10.00 (Spirit Wear -Kindergarden T Shirt for Cynthia Cassidy)</t>
        </r>
      </text>
    </comment>
    <comment ref="E24" authorId="3" shapeId="0" xr:uid="{00000000-0006-0000-0000-000022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1/6/2014 - 1,138.00 Spirit Wear Income</t>
        </r>
      </text>
    </comment>
    <comment ref="G2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 10/6/14 $568.00 from sale of Bulldog Magnets, deposit 1/14/15 $860 from Camp Spot ($838) and Baumann ($22) </t>
        </r>
      </text>
    </comment>
    <comment ref="I24" authorId="1" shapeId="0" xr:uid="{00000000-0006-0000-0000-000024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Deposit's 9/14/15 $466 &amp; $150, 9/17/15 deposit's $630 &amp; $50, 9/22/15 deposit $355, 9/28/15 deposit $70
10/13/15 $95
11/12/15 $50
4/13/16 $10
</t>
        </r>
      </text>
    </comment>
    <comment ref="I25" authorId="1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9/17/15 deposit for magnet sales at Fall Fest $110.
9/28/15 deposit for magnet sales at Back to School night $80
1/14/16 deposit $931 from Camp Spot</t>
        </r>
      </text>
    </comment>
    <comment ref="C31" authorId="2" shapeId="0" xr:uid="{00000000-0006-0000-0000-000026000000}">
      <text>
        <r>
          <rPr>
            <sz val="8"/>
            <color indexed="81"/>
            <rFont val="Tahoma"/>
            <family val="2"/>
          </rPr>
          <t>Was getting charged monthy but was switched to NON PROFIT so no more fees will apply- $62.95.
5/2/13 Bank Fee (Credit Card Monthly Fee)$28.50
6/2/13 Bank Fee (Credit Card Monthly Fee) $19.50</t>
        </r>
      </text>
    </comment>
    <comment ref="E31" authorId="3" shapeId="0" xr:uid="{00000000-0006-0000-0000-000027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7/2/13 9.75 Merchant fee
8/2/13 9.75 Merchant fee
9/3/13 9.75 Merchant fee
10/2/13 9.75 Merchant fee
11/1/13 9.75 Merchant fee
11/1/13 12.00 Returned check fee
12/2/13 9.75 Merchant fee
1//2/14 9.75 Merchant fee
2/3/14 9.75 Merchant fee</t>
        </r>
      </text>
    </comment>
    <comment ref="G31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Laura Govan:
SC=Service Charge
MF=Merchant Fee
</t>
        </r>
        <r>
          <rPr>
            <sz val="9"/>
            <color indexed="81"/>
            <rFont val="Tahoma"/>
            <family val="2"/>
          </rPr>
          <t xml:space="preserve">7/2/14 $11.75 SC 
8/4/14 $9.75 MF
9/2/14 $9.75 MF
10/2/14 $9/75 MF
11/3/14 $9.75 MF
12/2/14 $9.75 MF
1/9/12 $9.75 MF
2/2/15 $9.75 MF
3/2/15 $9.75 MF
3/2/15 $12.00 SC
4/2/15 $0.14 MI
4/2/15 $1.83 MD
4/2/15 $8.55 MF
5/4/15 $5.50 Merch Interchange
5/4/15 $8.70 MF
5/4/15 $134.31 Merch Discount
</t>
        </r>
      </text>
    </comment>
    <comment ref="E32" authorId="3" shapeId="0" xr:uid="{00000000-0006-0000-0000-000029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#2420 3/18/14 $500
Bernards High
Project Gruduation </t>
        </r>
      </text>
    </comment>
    <comment ref="G3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3/9/15 ck#25531 $500 BHS-HAS PG2015</t>
        </r>
      </text>
    </comment>
    <comment ref="I32" authorId="1" shapeId="0" xr:uid="{00000000-0006-0000-0000-00002B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7/2/15:
MF $9.75, Merch Discount $24.99, Service Charge Period Ending 6/30/15 $33
8/3/15:
MF $9.75, M Disc $24.99
9/2/15:
MF $9.75, Merch Discount $24.99
10/2/15 MF $9.75, PNC Discount $24.99
11/2/15 $24.99 PNC Dis MF $9.75
12/24/15 PNC Dis MF $24.99, MF $9.75.
1/4/15 $25.99 PNC Dis MF, $9.75 MF
2/2/16 $24.99 Merch discount, $9.75 MF
3/2/16 $24.99 Merch Dis,
$9.75 MF
4/4/16 $12.94 MF, $24.99 Merchant Dis 
5/2/16 PNC Merch Fee $12.28, Merch Interchng $12.57, Merch Disc $245.41
6/2/16 Merch Disc $50.48
6/2/16 Merch Fee $9.60
6/2/16 Merch Interchg $1.02
</t>
        </r>
      </text>
    </comment>
    <comment ref="C33" authorId="2" shapeId="0" xr:uid="{00000000-0006-0000-0000-00002C000000}">
      <text>
        <r>
          <rPr>
            <sz val="8"/>
            <color indexed="81"/>
            <rFont val="Tahoma"/>
            <family val="2"/>
          </rPr>
          <t>ck#2288 12/13/12 $1436.00 Barker Bus (6th grade Stokes Trip
ck#2311 3/12/13 $860.00 (2/25 and 2/26 Ocean Place and Spa resort-Ms. Thomas)
ck#2316 $413.00 Mendham Township BOE (2/1/13 1st grade trip to RVCC)
ck#2340 $225.00 Barker Bus (1st grade trip to Library)
ck#2341 $1371.25 Barker Bus (2nd grade Fairview $392.50 &amp; Gr. 5-8 (Jazz Band Great Adventure $978.75)</t>
        </r>
      </text>
    </comment>
    <comment ref="E33" authorId="3" shapeId="0" xr:uid="{00000000-0006-0000-0000-00002D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11/19/13 ck#2395 $584 Barker Bus K Pumpkin Picking Trip
1/16/14 ck #2406 $818.12 Somerset County Ed. Services - Stokes 
3/19/14 ck#2422 $450 Martmoio Cuban Rest. Inv. 43065
4/23/14 ck#2443 $1,436 Liberty Science CTR 4th Grade - $919 and RVCC K $517.
6/2/14 ck#2452 $895.00 Great Adventure Jazz Band
6/20/14 #2462 $1162.75
for invoice 43364 - Franklin Mineral Mine 3rd grade, #43365 Fairview Wild Life Pres. 2nd Grade.
6/23/14 #2463 $1335.25 for invoice 43363 Morris Museum 6th grade $375.25 and invoice 43367 Green Meadows Native Lands $960 5th grade </t>
        </r>
      </text>
    </comment>
    <comment ref="G3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11/20/14 ck#2501 Barker Bus $584 for 1st grade trip to Alstede Farm on 10/20/14.
6/1/15 ck#2559 $1,656.50 Barker Bus for Inv#'s 44735 &amp; 44737,
6/8/15 ck#2562 Inv#44614, 44642 $1638.00,
6/20/15 ck#2573 USGA field trip $852
6/24/15 ck32576 Inv# 44846, 44847, 44848, 44849 $2,972.50
6/29/15 ck#2578 Liberty State Park &amp; Martino's Restuarant $1000.
</t>
        </r>
      </text>
    </comment>
    <comment ref="I33" authorId="1" shapeId="0" xr:uid="{00000000-0006-0000-0000-00002F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4/13/16 Ck#2655 $500 BHS Project Grad.</t>
        </r>
      </text>
    </comment>
    <comment ref="C34" authorId="2" shapeId="0" xr:uid="{00000000-0006-0000-0000-000030000000}">
      <text>
        <r>
          <rPr>
            <sz val="8"/>
            <color indexed="81"/>
            <rFont val="Tahoma"/>
            <family val="2"/>
          </rPr>
          <t>ck#2239 6/17/12 Barker Bus $822.50
ck#2240 6/27/12 Barker Bus $346.25
ck#2244 8/2/12 Barker Bus $592.50
ck#2245 8/2/12 Mendham Twsp. $708.00</t>
        </r>
      </text>
    </comment>
    <comment ref="E34" authorId="3" shapeId="0" xr:uid="{00000000-0006-0000-0000-000031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#2363 7/11/13 Barker Bus $517.00
ck#2364 7/11/13 Barker Bus $785.00
ck# 2365 7/11/13 Barker Bus $718
ck# 2366 7/11/13 Barker bus $986.00
ck#2367 7/11/13 Barker Bus $497.50
ck#2368 7/11/13 Barker Bus $952.50
ck# 2370 7/31/13 Barker Bus $1953.00 (4 invoices)</t>
        </r>
      </text>
    </comment>
    <comment ref="G34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9/4/14 ck#2474 $587 Barker Bus for 6/11/14 1st Grade Field trip to Frelinghuysen Arboretum, 9/18/14 ck#2478 $785 Field trip to Red Mill Museum from last year,</t>
        </r>
      </text>
    </comment>
    <comment ref="I34" authorId="1" shapeId="0" xr:uid="{00000000-0006-0000-0000-000033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11/16/15 ck#2612 $295 10/20 Alstede Farm trip
12/23/15 ck#2624 $990 11/20 Grounds for Sculpture.
5/23/16 ck#2671 $225 Matino's Inv#45793
5/23/16 ck#2672 $550 RVCC Inc#45793
5/23/16 ck#2673 $292 Mayo Perf Arts Inv#45792</t>
        </r>
      </text>
    </comment>
    <comment ref="J34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Dave Govan: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1" shapeId="0" xr:uid="{00000000-0006-0000-0000-000035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2/4/15 ck#2524 $60 Norris, McLaughlin &amp; Marcus, P.A. for 2014 Tax filing,</t>
        </r>
      </text>
    </comment>
    <comment ref="C36" authorId="2" shapeId="0" xr:uid="{00000000-0006-0000-0000-000036000000}">
      <text>
        <r>
          <rPr>
            <sz val="8"/>
            <color indexed="81"/>
            <rFont val="Tahoma"/>
            <family val="2"/>
          </rPr>
          <t xml:space="preserve">ck#2331 $99.95 Tom Notte (mini grant for archery target)
</t>
        </r>
      </text>
    </comment>
    <comment ref="H36" authorId="1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Merged with Grants.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2" shapeId="0" xr:uid="{00000000-0006-0000-0000-000038000000}">
      <text>
        <r>
          <rPr>
            <sz val="8"/>
            <color indexed="81"/>
            <rFont val="Tahoma"/>
            <family val="2"/>
          </rPr>
          <t xml:space="preserve">ck#2296 1/25/13 $1045.00 Heartland Costumes (50% deposit for costumes) 
ck#2328 $1156.21 4/19/13 Heartland Costumes (took $1000 from Grants plus this amount=$2156.21)  -Lefurge gave $247.50 cash for roses on invoice- Deposit cash in Misc.
</t>
        </r>
      </text>
    </comment>
    <comment ref="D37" authorId="3" shapeId="0" xr:uid="{00000000-0006-0000-0000-000039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12/13 PTO meeting approved transfer of $3000 from Programs and Assemblies to Musical (previously $2000)</t>
        </r>
      </text>
    </comment>
    <comment ref="E37" authorId="3" shapeId="0" xr:uid="{00000000-0006-0000-0000-00003A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#2440 4/16/14 $3000
Suite One Sound and Video Technical- Musical Little Mermaid
#2467 $1965.00 Suite one sound &amp; video expansion of existing light</t>
        </r>
      </text>
    </comment>
    <comment ref="C38" authorId="2" shapeId="0" xr:uid="{00000000-0006-0000-0000-00003B000000}">
      <text>
        <r>
          <rPr>
            <sz val="8"/>
            <color indexed="81"/>
            <rFont val="Tahoma"/>
            <family val="2"/>
          </rPr>
          <t xml:space="preserve">ck#2348 $570.55 6/11/13  Karen Mlynarski (Field Day)
</t>
        </r>
      </text>
    </comment>
    <comment ref="E38" authorId="3" shapeId="0" xr:uid="{00000000-0006-0000-0000-00003C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2450 $166.99 5/22/14 Field Day Dog Tags (reimburse Tess Johnson for Credit Card payment)
CK 2454 $222.87 ($19.19  and $203.68)(Split Total $381.62) Marisa Austenberg Supplies
#2464 $87.67 Field Day supplies (balls and pools) Marisa Austenberg</t>
        </r>
      </text>
    </comment>
    <comment ref="C40" authorId="2" shapeId="0" xr:uid="{00000000-0006-0000-0000-00003D000000}">
      <text>
        <r>
          <rPr>
            <sz val="8"/>
            <color indexed="81"/>
            <rFont val="Tahoma"/>
            <family val="2"/>
          </rPr>
          <t>ck#2260 9/18/12 Cher Bessasparis $27.96 (Twizzlers)</t>
        </r>
        <r>
          <rPr>
            <sz val="8"/>
            <color indexed="81"/>
            <rFont val="Tahoma"/>
            <family val="2"/>
          </rPr>
          <t xml:space="preserve">
ck#2264 9/21/12 Cash $200.00 (start up cash for Fall Fest)
ck#2266 9/27/12 Jennifer McAdoo $36.43 (Candy and Tattoos)</t>
        </r>
      </text>
    </comment>
    <comment ref="E40" authorId="3" shapeId="0" xr:uid="{00000000-0006-0000-0000-00003E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ck#2371 $178.88 8/12/13  Marisa Austenberg Tent and replacement bag.
Ck#2384 $182.33 10/8/13 Jenn McAdoo Face Painst, give aways.</t>
        </r>
      </text>
    </comment>
    <comment ref="G40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11/10/14 ck#2496 Jennifer McAdoo for $123.83 for supplies for Fall Fest.</t>
        </r>
      </text>
    </comment>
    <comment ref="C41" authorId="2" shapeId="0" xr:uid="{00000000-0006-0000-0000-000040000000}">
      <text>
        <r>
          <rPr>
            <sz val="8"/>
            <color indexed="81"/>
            <rFont val="Tahoma"/>
            <family val="2"/>
          </rPr>
          <t xml:space="preserve">ck#2277 11/10/12  $107.00 Cash (Start up cash for Book Fair)
ck#2285 12/7/12 $9203.22 Scolastics Book Fair </t>
        </r>
      </text>
    </comment>
    <comment ref="E41" authorId="3" shapeId="0" xr:uid="{00000000-0006-0000-0000-000041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ck#2378 $120 Cash BookFair Cash Drawer 9/26/13
ck #2383 $21 Cash BookFair Coins for Cash Drawer 9/29/13 
ck #2386 $7,517.34 Scholastic Bookfair </t>
        </r>
      </text>
    </comment>
    <comment ref="G41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withdrawl of $180 for register change, 9/16/14 ck#2477 $44.73 to Marisa Austenberg for printing of BF letters for backpacks,
10/11/14 ck#2485 $8,428.03 Scholastic Book Fairs, </t>
        </r>
      </text>
    </comment>
    <comment ref="I41" authorId="1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9/11/15 </t>
        </r>
        <r>
          <rPr>
            <sz val="9"/>
            <color indexed="81"/>
            <rFont val="Tahoma"/>
            <family val="2"/>
          </rPr>
          <t>ck#2585 petty cash for cash box.</t>
        </r>
      </text>
    </comment>
    <comment ref="C42" authorId="2" shapeId="0" xr:uid="{00000000-0006-0000-0000-000044000000}">
      <text>
        <r>
          <rPr>
            <sz val="8"/>
            <color indexed="81"/>
            <rFont val="Tahoma"/>
            <family val="2"/>
          </rPr>
          <t xml:space="preserve">ck#2247 8/17/12 Bridgewater Manor $500.00
ck#2250 8/24/12 Wild Willy's $500.00
ck#2253 8/31/12 Seton $67.05 (Cher Bessasparis parking sign)
ck#2280 11/20/12 Legalized Games $20.00
ck#2281 11/20/12 Legalized Games $20.00
ck#2282 11/20/12 Bridgewater $30.00
ck#2283 12/5/12 USPS $150.00 (postage)
ck#2284 12/6/12 The UPS Store $169.98 (Flyers/Posters)
ck#2289 12/20/12 USPS $250.00 (Postage)
ck#2290 12/23/12 The UPS Store $44.24 (553 Flyer #1)
ck#2295 1/18/13 The UPS Store $51.00 (300 copies/Stapling Labor)
ck# 2297 2/1/13 Bedminster Post Offiice $276.00 (600 stamps for spring fling invitations)
ck#2298 2/1/13 Bernardsville Print Center $517.15 (Spring Fling Invitations)
ck#2299 2/11/13 Bridgewater Manor $3300.00 (Deposit 150 people)
ck#2300 2/15/13 Marisa Austenburg $16.84 (SF bulletin board-Partycity)
ck#2301 2/15/13 Marisa Austenburg $59.90 (SF bags for basket tickets- Michaels)
2/21/13 Returned check $70.00 (Philps Jewelers ck#15624)
ck#2303 2/27/13 Michael's Store $30.00 (20 Foam Boards)
ck#2304 2/28/13 Marisa Austenburg $171.21 (Display easels for SF) 
ck# 2305 3/1/13 Fedex Office $537.08 (SF posters)
3/4/13 $2.24 Bank service fee (credit card fee)
3/4/13 $39.65 Bank service fee (credit card fee)
3/1/13 $12.00 Bank service fee for stopped check
ck#2307 3/9/13 FedEx Office $94.24 (3-posters)
ck#2309 3/10/13 Staples $147.36 (Cash boxes, pens, sharpies, staples and foam boards)
ck#2310 3/12/13 Bridgewater Manor $4237.96
ck#2312 3/13/13 Marisa Austenberg $87.96 (SF Michaels-bags &amp; Staples-Acrylic Frames)
ck#2313 3/13/13 FedEx Office $46.25 (BW 1S 80# wht (90 Qty) and BW Print Per SqFT (24 Qty)
ck#2314 3/14/13 $950.00 Cash (Spring Fling Start up cash $200 basket tics, $50 silent Auction &amp; $700 Casino)
ck#2317 3/15/13 $1422.30 Bernardsville Print Center (200 Programs)
ck#2318 3/15/13 $525.00 Cash (Casino Tips 21 Dealers x $25 each) as per contract
ck#2319 3/16/13 $3900.00 Wild Willy's Casino Balance
ck#2320 3/17/13 $939.68 Bridgewater Manor (20 additional people - pd for 165 intially had to pd for 20 more)
ck#2321 3/17/13 $100.00 Cash (Tip for Matra Di at Bridgewater Manor)
ck#2323 3/22/13 $31.49 Maureen Murphy SF Shipping Labels for baskets
ck#2324 3/22/13 $210.10 Amy Herrick -Wrapping ang ribbon for baskets
4/2/13 Bank Fees (credit cards) $129.89
4/2/13 Bank Fees (credit cards) $157.07
4/2/13 Bank Fees (credit cards) $260.31
ck#2329 5/6/13 $77.53 Kim Rich (Silent Auction)
ck#2333 5/16/13 Marisa Austenburg $150.49- Thank you labels and postage </t>
        </r>
      </text>
    </comment>
    <comment ref="E42" authorId="3" shapeId="0" xr:uid="{00000000-0006-0000-0000-000045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ck2362 7/11/13 $500.00 Bridgewater Manor Deposit
11/08/13 $100 transfer for required balance for 50/50 account at PNC
ck2399 12/2/13 $36.25 Marisa Austenberg Spring Fling Poster
12/20/13/ $30 transferred to 50/50/ account for fees.
ck#2403 1/6/14 $138 Marisa Austenberg SF solicitation mailing
ck#2405 1/16/14 $184 Maris Austenberg 
ck#2408 2/20/14 $20 LGCCC Spring Fling Raffle 
ck#2409 2/20/14 $10 Bridgewater Twnship Raffle
ck# 2413 2/22/14 $594.63 Bernardsville Print Center SF Invites
ck#2414 2/22/14 $78.24 Marisa Austenberg SF Supplies
ck#2415 2/22/14 $245 Marisa Austenberg SF Postage Invites 
2/24/14 Transfered $180 to 50/50 account to pay for ticket printing.
3/3/14 Credit Card Fees - $22.14
ck#2419 3/18/14 $190 Bernardsville Print SF Posters
3/19/14 $72.30 Transfer to 50/50 acct fee for check printing
ck#2423 3/23/14 $50.64
M. Austenberg SF basket supplies
ck#2424 3/23/14 $44.99 M. Austenberg SF wristbands for admiss.
ck#2425 3/23/14 $44.07 M. Austenberg SF admissions supplies
4/2/14 Credit Card Fes $39.74
ck#2426 4/3/4 $124.11 Staples Spring Fling 
ck#2427 4/3/14 $580.03
Fed Ex Spring Fling Signs
ck#2428 4/4/14 $200 
Spring Fling Cash Box
ck#2429 4/5/14 $10,426.16 Bridgewater Manor 
ck#240 4/5/14 $120 All Star Limo 
ck#2432 4/14/14 $68.36 Marisa Austenberg SF supplies
#2437 4/16/14 $219 Jessica Pascale SF baskets
#2438 4/16/14 $508.70 Susan Corbett SF Silent Auc. Frames and Decorat.
#2439 4/16/14 $14.58 1/2 raff drum rental
#2441 4/16/14 $18.80 Bernardsville Print CTR SF program inserts
ck#2436 4/16/14 $89
Josephine Collura SF Baskets
5/2/14 Credit Card Fees $32.95
6/6/14 CK2455 $1339.80 Bernardsville Print Programs
6/18/14 ck 2459 $420.00 Thank you to Vendor ad in Bernardsville news.</t>
        </r>
      </text>
    </comment>
    <comment ref="G42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8/5/14 Ck#2470 $2500.00 for deposit for Trump National, 
12/22/14 ck#2508 $26.05 Marisa Austenberg, 12/22/14 ck#2509 USPS $245 for mailing, 
1/15/15 Ck#2514 $20 Bedminster Township for Licenses,
1/15/15 ck#2515 $20 LGCCC Licenses,
2/3/15 Ck#2521 $180 Bernardsville Print Center for 50/50 raffle tix books, 
2/13/15 ck#2526 $118.07 Suzie Stevinson printing,
2/11/15 ck#2525 USPS $254.80 mailing,
3/4/15 ck#2528 $67.62 Jessica Pascale for supplies,
3/13/15 ck#2534 $587.54 Bernardsville Print Center for Invitations,
3/13/15 ck#2535 $190 Bernardsville Print Center for posters,
4/16/15 ck#2547 $150 Cash to tip Trump staff
4/17/15 $50 cash to add to tip Trump staff
4/16/15 ck#2546 $300 Cash for cash box night of, 
4/15/15 ck#2543 $28.50 Fed Ex Office signs for baskets/auction,
4/15/15 ck#2544 $253.75 Fed Ex Office signs for mounting night of,
4/15/15 ck#2545 $507.50 Fed Ex Office sighs for mounting night of,
4/24/15 ck#2552 $105.45 Susan Corbett for Silent Auction supplies,
4/24/15 ck#2551 $14.58 Anna Spitaleri for rental of raffle barrels,
5/12/15 ck#2555 $1,316.26 Bernardsville Print Center for SF Program booklet,
5/13/15 ck#2557 $12,624.34 Trump National Golf Club, Venue fee,
6/24/15 ck#2575 $20 LGCCC for 50/50 raffle
</t>
        </r>
      </text>
    </comment>
    <comment ref="I42" authorId="1" shapeId="0" xr:uid="{00000000-0006-0000-0000-000047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9/25/15 ck#2592 $150 Cash, start up cash for registers.
10/20/15 ck#2601 $8086.85 Scholastic Book Fair</t>
        </r>
      </text>
    </comment>
    <comment ref="I43" authorId="1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ck#2579 7/1/15 Trump National deposit for Spring Fling.
12/3/15 ck#2602 $20 LGCCC for 50/50 raffle
1/13/16 ck#2629 $245 Marisa Austenberg reimbursement for solicitor mailing from Bernardsville Print Center.
1/13/16 ck#2630 $51.01 Marisa Austenberg for supplies for binder organization.
1/25/16 ck#2635 $40 to Bedminster Township for permit for basket &amp; 50/50 raffles.
2/4/16 ck#2638 $350.05 Bernardsville Print Center, envelopes and sandwich boards
2/18/16 Debt USPS $245 Stamps for invite mailing
2/22/16 $200 Online transfer to 50/50 account for printing
2/22/16 ck#2643 $205.10
Suzie Stevinson paper &amp; printing for backpack mailing
2/23/16 ck#2644 $86.15 Jessica Pascale ribbon supplies for baskets 
2/24/16 ck#2650 $549.84 Bernardsville Print Center for invite printing
3/16/16 ck#2653 $222 Jodi Coleman for basket supplies
3/30/16 ck#2656 $40 Bernardsville Print/SF Posters,
4/4/16 ck#2657 $5,625 Trump Nat'l/2nd payment
4/7/16 ck#2658 $150 Cash for cashbox night of.
4/7/16 ck#2659 $150 Cash for Tip for staff at Trump night of.
4/7/16 $641.41 Debt purchase at Bernardsville Printing/printing night of signs
4/8/16 $952.87 Debt purchase at Bernardsville Printing/printing of basket sponsor and silent auction signs for night of.
4/21/16 ck#2662 $14.58 Anna Spitaleri reimbursement for iPad raffle barrel rental.
5/2/16 ck#2663 $5,350 Trump Nat'l balance.</t>
        </r>
      </text>
    </comment>
    <comment ref="I44" authorId="1" shapeId="0" xr:uid="{00000000-0006-0000-0000-000049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11/20/15 withdrawl $50 for cashbox
11/30/15 ck#2615 $40 Bernardsville Print Center for P.R.
12/14/15 ck#2621 $388 Ceaco (GameWright Co.)</t>
        </r>
      </text>
    </comment>
    <comment ref="I45" authorId="1" shapeId="0" xr:uid="{00000000-0006-0000-0000-00004A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2/24/16 ck#2648 $520 Chase Card Service's for Rutger's basketball tix 
2/25/16 ck#2646 $596.09 New Jersey Devil's for hockey tix
3/22/16 ck#2654 $544.49 Chase Card Services for NJ Devil's tix</t>
        </r>
      </text>
    </comment>
    <comment ref="C46" authorId="2" shapeId="0" xr:uid="{00000000-0006-0000-0000-00004B000000}">
      <text>
        <r>
          <rPr>
            <sz val="8"/>
            <color indexed="81"/>
            <rFont val="Tahoma"/>
            <family val="2"/>
          </rPr>
          <t xml:space="preserve">ck#2337 5/18/13 $227.49 Admin. Prof. Day (cards and gift cards)
</t>
        </r>
      </text>
    </comment>
    <comment ref="E46" authorId="3" shapeId="0" xr:uid="{00000000-0006-0000-0000-00004C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12/2/13 ck# 2396 Marisa Austenberg - gift Debbie Rodenbach Urban table Gift Card 
4/14/14 - ck#2434 $50 - St. Joseph RC Church Karna Johnsen Father Memorial
6/6/14 #2454 $100 (Split Check $381.62) Marisa Austenberg Gift to Melinda Bram for Tax Prep.</t>
        </r>
      </text>
    </comment>
    <comment ref="G46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>9/23/14 ck#2470 American Cancer Society, in memorium of Dennis Wishney former BS custodian.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47" authorId="2" shapeId="0" xr:uid="{00000000-0006-0000-0000-00004E000000}">
      <text>
        <r>
          <rPr>
            <sz val="8"/>
            <color indexed="81"/>
            <rFont val="Tahoma"/>
            <family val="2"/>
          </rPr>
          <t>ck# 2353 6/19/13 Jansyn Tropea $36.49
ck#2354 6/19/13 Karna Johnsen $282.74
ck#2355 6/19/13 Dari Mehl $50.00</t>
        </r>
        <r>
          <rPr>
            <sz val="8"/>
            <color indexed="81"/>
            <rFont val="Tahoma"/>
            <family val="2"/>
          </rPr>
          <t xml:space="preserve">
ck#2356 6/19/13 Mimi Jacobs $166.32
ck#2357 6/16/13 Baloons $</t>
        </r>
      </text>
    </comment>
    <comment ref="E47" authorId="3" shapeId="0" xr:uid="{00000000-0006-0000-0000-00004F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Ck#2448 $500 Bedminster School 8th Grade hall of fame.
CK #2457 $332.96 Life O The Party - 6/20/14 Balloon Cascade for reception per Jen Casella 
#2466 $295.48 Jen Casella various supply expenses, CK#2469-8/4/14 Jodi Pannullo for food and drinks</t>
        </r>
      </text>
    </comment>
    <comment ref="G47" authorId="1" shapeId="0" xr:uid="{00000000-0006-0000-0000-000050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6/9/15 ck#2568 $177 Melissa Kircher,
6/10/15 ck#2569 $342.98 Marie Elena Brown,
6/25/15 ck#2577 $413.40 Donna Connelly,
7/17/15 ck#2580 $159.90 Lynne Allegra,
</t>
        </r>
      </text>
    </comment>
    <comment ref="I47" authorId="1" shapeId="0" xr:uid="{00000000-0006-0000-0000-000051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2/22/16 ck#2643 $79.98 Suzie Stevinson Teacher of the Year gift
3/3/16 ck#2642 $100 Grayson C. Meyer College Fund (Chief Meyer's memorial gift)</t>
        </r>
      </text>
    </comment>
    <comment ref="C48" authorId="2" shapeId="0" xr:uid="{00000000-0006-0000-0000-000052000000}">
      <text>
        <r>
          <rPr>
            <sz val="8"/>
            <color indexed="81"/>
            <rFont val="Tahoma"/>
            <family val="2"/>
          </rPr>
          <t xml:space="preserve">ck#2334 $300.00 Bedminster School (8th grade awards)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" authorId="3" shapeId="0" xr:uid="{00000000-0006-0000-0000-000053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4/14/14 #2435 $300 Bedminster Township School Graduation awards</t>
        </r>
      </text>
    </comment>
    <comment ref="G48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4/10/15 ck#2539 $300 Awards</t>
        </r>
      </text>
    </comment>
    <comment ref="C49" authorId="2" shapeId="0" xr:uid="{00000000-0006-0000-0000-000055000000}">
      <text>
        <r>
          <rPr>
            <sz val="8"/>
            <color indexed="81"/>
            <rFont val="Tahoma"/>
            <family val="2"/>
          </rPr>
          <t>ck#2322 $637.50 3/18/13 Eclipse Ball Inc. (Ms. Thomas)
ck#2328 $1000.00 4/19/13 Heartland Costumes (Grant for costumes) balance of check taken from Drama Club
ck#2345 $3450.00 Bedminster Township School (Teacher Supplies)</t>
        </r>
      </text>
    </comment>
    <comment ref="E49" authorId="3" shapeId="0" xr:uid="{00000000-0006-0000-0000-000056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#2379 $104.27 Schools In - Kindergarten Grant Joy in a Box Carpet Squares 9/23/13
ck #2380 $180.00 Lakeshore -Sound Phone Kindergarten Grant 9/23/13
ck #2381 $475.23 Really Good Stuff Kindergarten Grant Chairpockets 9/23/13 
ck #2382 $293.21 Scholastic Brainbank Guided Reading 9/23/13
11/19/13 $78.37 Amazon Mini-Grant Ted Biletski 
12/2/13 ck#2397 $370.00  Balance of CAP Child Assult Prevention Workshop 
1/16/14 $100 Jolanto Kolodziejski Mini-Grant I tune cards
4/14/14 #2431 $149.85 Basketball Coach Fleece
 5/21/14 #2449 $100 Baseball Coach Fleece
</t>
        </r>
      </text>
    </comment>
    <comment ref="F49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 xml:space="preserve">Laura Govan: 11/18/14 ck#2499 Perrotti's Hospitality parent/teacher conferences,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 xml:space="preserve">Laura Govan: 11/18/14 ck#2499 Perrotti's Hospitality parent/teacher conferences,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9" authorId="1" shapeId="0" xr:uid="{00000000-0006-0000-0000-000059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5/24/16 ck#2670 $225 Bedminster School</t>
        </r>
      </text>
    </comment>
    <comment ref="C50" authorId="2" shapeId="0" xr:uid="{00000000-0006-0000-0000-00005A000000}">
      <text>
        <r>
          <rPr>
            <sz val="8"/>
            <color indexed="81"/>
            <rFont val="Tahoma"/>
            <family val="2"/>
          </rPr>
          <t>ck#2251 8/28/12 Gopher Sport $998.00 (Soccer goals)
ck#2269 10/2/12 Tri-State Folding $5400.00 (Score board)</t>
        </r>
      </text>
    </comment>
    <comment ref="E50" authorId="3" shapeId="0" xr:uid="{00000000-0006-0000-0000-00005B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 2373 $499 Apple Godfrey Ipad grant 9/1/13
ck# 2382 $293.21 Scholastic Brain Bank Guided Reading PP 9/23/13
ck#2387 $149.95 ZooBurst - mini Grant 10/25/13
ck#2388 $456.84 Wilson Language Training Corp. 2nd grade foundations grant
ck#2389 $492.48 Wilson Language Training Corp. 1st grade Foundations grant
ck#2390 $ 563.76 Wilson Language Training Corp K Foundations grant
#2468 $3,003.34 Rinko Memorial Grant for STEM Science &amp; Tech Lab</t>
        </r>
      </text>
    </comment>
    <comment ref="G50" authorId="0" shapeId="0" xr:uid="{00000000-0006-0000-0000-00005C000000}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9/13/14 Ck#2476 $385.75 Godfrey Grant for Aussie Pouch Organizer's; 10/21/14 ck#2488 $268.16 Griffith Grant for Sugar Skull Kits; 11/18/14 Ck#2498 Scholastic Inc. Salvato Grant $1,084.55, 11/18/14 ck#2500 $451.80  Suzie Stevinson for Schechter Grant, 12/4/14 ck#2505 $500 Jorge Gomez music for Heritage Night Grant, 12/12/14 ck#2506 Budding Star Quilting $168.75 Mini,  Grant/Hershkowitz fabric, 1/10/15 ck#2513 $103.50 Lakeshore Learning Materials Marlatt Grant, 2/3/15 ck#2520 $800 Bruce Blitz Hershkowitz Grant for 7th &amp; 8th grades, 
4/16/15 ck#2537 $1,322.95 to Lego Education for Oliveri Grant,
4/22/15 ck#2549 $38.95 Marlatt mini Grant,
</t>
        </r>
      </text>
    </comment>
    <comment ref="I50" authorId="1" shapeId="0" xr:uid="{00000000-0006-0000-0000-00005D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9/17/15 ck#2589 $227.40 to Staples Advantage/Godrey's Grant for 5th&amp;6th grade binder organizers.
9/16/15 ck#2588 $540.10 Really Good Stuff/Alfieri Grant for book binds.
9/18/15 ck#2590 $319.19
Kobay/Reading Center,
10/15/15 ck#2600 $309.99 Suzie Stevinson reimursement for Alfieri iPad grant.
11/10/15 ck#2607 $135 Laura Govan reimbursement for online purchase of "Sugar Skulls" for Griffith Grant.
11/8/15 ck#2608 $319.12
Alfieri Grant "book bins"
11/20/15 ck#2609 $619 Aussie Pouch Co. 4th Grade grant for chair pockets
11/30/15 ck#2618 $23.10 Laura Govan reimbursement for Marlott mini-grant for Mercy Watson book set.
12/1/15 ck#2616 $133.25  Really Good Stuff for Sherry Marlott mini-grant.
12/29/15 ck#2625 $149.97 Andrea Burke reimbursment for "Nearpod".
1/25/16 DebtCard purchase $717 Aussie Pouch for McFarland Grant.
1/25/16 DebtCard purchase Really Good Stuff $275.29 for book pouches for McFarland (K).
1/29/16 DebtCard purchase $138.38
Cajun Chess for 3rd &amp; 4th grade classroom chess sets.
2/9/16 ck#2639$150 Oceanic Society for Hofman Sea Turtle expert
2/24/16 Debt $373.75 Bouncy Bands - Mancini 
3/24/16 ck#2652 $426 for CAP Grant
4/5/16 $27.76 Debt purchase Carson Dellosa/Grant Marlott.
4/18/16 Ck#2660 $458.12 Andrea Burke reimbursement for Breakout Kits Grant.
4/27/16 Online purchase $80.14 Amazon for Whisperphones/Ragoza.
5/18/16 ck#2668 $140 RHS Student Activities for Johnson grant speaking and debate competition.
5/25/16 ck#2675 $200 Tony Costello Heritiage Night Music.
5/26/16 ck#2676 $97.76 Yvonne Mathez Heritage Night Crepery Supplies.
6/1/16 Debit Purchase $63.50 Griffith Grant for Worry Dolls.</t>
        </r>
      </text>
    </comment>
    <comment ref="C51" authorId="2" shapeId="0" xr:uid="{00000000-0006-0000-0000-00005E000000}">
      <text>
        <r>
          <rPr>
            <sz val="8"/>
            <color indexed="81"/>
            <rFont val="Tahoma"/>
            <family val="2"/>
          </rPr>
          <t xml:space="preserve">
ck#2261 9/20/12 Cher Bessasparis $16.54 (PTO meeting supplies: Coffee cups &amp; Creamers)
ck#2287 12/11/12 Margoth Yannotta $100.00 Server for Holiday Party</t>
        </r>
        <r>
          <rPr>
            <sz val="8"/>
            <color indexed="81"/>
            <rFont val="Tahoma"/>
            <family val="2"/>
          </rPr>
          <t xml:space="preserve">
ck#2293 1/8/13 Marisa Austenberg $79.71 (Costco for soda, water, cream, cups, stirrers and coffee)
ck#2350 6/11/13 Amanda Zabel $100.00 (Server for Holiday Party)
ck#2361 6/30/13 Marissa Austenberg $128.50 (Retirement Breakfast)</t>
        </r>
      </text>
    </comment>
    <comment ref="E51" authorId="3" shapeId="0" xr:uid="{00000000-0006-0000-0000-00005F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#2375 $97.49 Marisa Austenberg restock closet
#2417 $24.99 3/18/14 Maris Austenberg birthday cake for Principal Swan
#2433 $33.08 4/14/14 meeting refreshments
#2456 $100 Lisa Schiller Server Pto Meeting at Liza Whites</t>
        </r>
      </text>
    </comment>
    <comment ref="G51" authorId="0" shapeId="0" xr:uid="{00000000-0006-0000-0000-000060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12/2/14 ck#2504 $100 Lisa Schiller for PTO Holiday Party, 1/21/15 ck#2517 $153.00 McCools Ice Cream for Arnowitz/Tarulli food drive party,</t>
        </r>
      </text>
    </comment>
    <comment ref="I51" authorId="1" shapeId="0" xr:uid="{00000000-0006-0000-0000-000061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10/27/15 ck#2584 $370 CAP reissue of payment for 2014-2015 Grant</t>
        </r>
      </text>
    </comment>
    <comment ref="C52" authorId="2" shapeId="0" xr:uid="{00000000-0006-0000-0000-000062000000}">
      <text>
        <r>
          <rPr>
            <sz val="8"/>
            <color indexed="81"/>
            <rFont val="Tahoma"/>
            <family val="2"/>
          </rPr>
          <t xml:space="preserve">ck#2279 11/20/12 Legalized Games $100.00 
</t>
        </r>
      </text>
    </comment>
    <comment ref="E52" authorId="3" shapeId="0" xr:uid="{00000000-0006-0000-0000-000063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11/8/13 ck#2393 Legalized Games of Chance Control Comission Biennial Registsration Renewal Application </t>
        </r>
      </text>
    </comment>
    <comment ref="G52" authorId="0" shapeId="0" xr:uid="{00000000-0006-0000-0000-000064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11/25/14 Ck#2503 $40 Anna Spitaleri for Spring Fling 50/50 license</t>
        </r>
      </text>
    </comment>
    <comment ref="I52" authorId="1" shapeId="0" xr:uid="{00000000-0006-0000-0000-000065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10/21/15 ck#2599 $80.54 Anna Spitaleri for coffee and pastries for teacher training.
12/11/15 ck#2619 Lisa Schiller PTO Holiday party.
2/22/16 ck#2647$57 Suzie Stevinson teacher training</t>
        </r>
      </text>
    </comment>
    <comment ref="C53" authorId="2" shapeId="0" xr:uid="{00000000-0006-0000-0000-000066000000}">
      <text>
        <r>
          <rPr>
            <sz val="8"/>
            <color indexed="81"/>
            <rFont val="Tahoma"/>
            <family val="2"/>
          </rPr>
          <t>5/23/13 $152.88 ordered more checks for Treasurer
ck#2347 $167.68 6/8/13 Gina Fernandez Thank you wine for Chair people</t>
        </r>
      </text>
    </comment>
    <comment ref="E53" authorId="3" shapeId="0" xr:uid="{00000000-0006-0000-0000-000067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CK#2385 $23.32 Carrie Tyler, Bulletin Boards</t>
        </r>
      </text>
    </comment>
    <comment ref="G53" authorId="0" shapeId="0" xr:uid="{00000000-0006-0000-0000-000068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9/2/16 ck#2473 $360.29 Marissa Austenberg for printing and mailing of WBTL, 9/19/14 withdrawl of $100 cash for the sale of magnets at Fall Fest, 11/1/14 ck#2491 $18.85 Bernardsville Print Shop for GameNight Posters, 11/2/14 ck#2492 $40.00 Bernardsville Print Shop for sandwichboard poster for GameNight, 11/4/14 ck#2494 $68.27 to Susan Corbett - Flyers for GameNight, 12/9/14 ck#2507 $272 GameWright for GameNight games, </t>
        </r>
      </text>
    </comment>
    <comment ref="I53" authorId="1" shapeId="0" xr:uid="{00000000-0006-0000-0000-000069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11/18/15 ck#2597 $100 LGCCC for Spring Fling
2/5/16 ck#2638 $20 LGCCC for 50/50 raffle
2/5/16 ck#2634 $20 for basket raffle</t>
        </r>
      </text>
    </comment>
    <comment ref="C54" authorId="2" shapeId="0" xr:uid="{00000000-0006-0000-0000-00006A000000}">
      <text>
        <r>
          <rPr>
            <sz val="8"/>
            <color indexed="81"/>
            <rFont val="Tahoma"/>
            <family val="2"/>
          </rPr>
          <t>ck#2302 2/26/13 Kory Edwards $131.92 Holiday Tea Kings, TJ Maxx and Cocoluxe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G54" authorId="0" shapeId="0" xr:uid="{00000000-0006-0000-0000-00006B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1/13/15 ck#2512 $100.00 Rutgers Athletics deposit for mens basketball game tix, 2/4/15 Rtn check of $165 from Rosen family ck#1550 for 3 NJ Devils tix, 1/29/15 Ck#2519 $824.17 New Jersey Devil's for 20 tix for 2/6 game,
2/4/15 ck#2524 $60 Norris, McLaughlin &amp; Marcus, P.A. for 2014 Tax filing,
2/18/15 ck#2527 $200 Rutgers Athletics 2/22/15 men's basketball game,
4/22/15 ck#2548 $200 New Jersey Devils deposit for 2014-2015 Event
</t>
        </r>
      </text>
    </comment>
    <comment ref="I54" authorId="1" shapeId="0" xr:uid="{00000000-0006-0000-0000-00006C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9/23/15 ck#2586 $192.87 Marisa Austenberg/printing for back to school mailing.
9/28/15 ck#2591 $50.02 Marisa Austenberg/Marketing &amp; PR for Book Fair,
10/6/15 ck#2596 $137.46 Faith Costabile for bulletin board.
11/30/15 ck#2614 $156 Kim Rich for fliers</t>
        </r>
      </text>
    </comment>
    <comment ref="C55" authorId="2" shapeId="0" xr:uid="{00000000-0006-0000-0000-00006D000000}">
      <text>
        <r>
          <rPr>
            <sz val="8"/>
            <color indexed="81"/>
            <rFont val="Tahoma"/>
            <family val="2"/>
          </rPr>
          <t>ck#2246 8/8/12 Staples $86.05 (Quicken 2012, PTO return address stamp, binder and paper clips)
ck#2252 8/30/12 Gina Fernandez $66.95 (PTO name badges)
ck#2254 8/31/12 Post Office $18.00 (stamps for invoices)
ck#2259 9/11/12 Staples $48.99 (Copy Paper)
ck#2263 9/20/12 Suzie Stevinson $31.46 (HR parent folders and sharpies)
ck#2270 10/4/12 Marisa Austenberg $19.50 (Thank you cards)
ck#2278 11/14/12 Staples $20.99 (mini recorder for Secretary position)
ck#2308 3/10/13 Staples $162.98 (Personalized envelopes and deposit stamp)
ck#2338 5/21/13 USPS $27.60 (Postage for Treasurer -invoices)
ck#2359 6/25/13 Staples $8.99 (USB port for Treasurer -backup Quicken)</t>
        </r>
      </text>
    </comment>
    <comment ref="E55" authorId="3" shapeId="0" xr:uid="{00000000-0006-0000-0000-00006E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#2360 $32.75 Marissa A. Nametags 7/6/13
ck #2372 $100.13 Staples Beg. Of year letter and brochures 8/20/13.
ck# 2451 $29.98 Staples printer cartridge and paper Tess Johnson - budget printing.</t>
        </r>
      </text>
    </comment>
    <comment ref="G55" authorId="0" shapeId="0" xr:uid="{00000000-0006-0000-0000-00006F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1/14/15 Ck#2511 Bernardsville Print Center (letterhead) for $205.93,
3/30/15 ck#2536 $132.03 Laura Govan for PTO supplies (toner, stamps, printer paper, binders),
6/8/15 ck#2563 $277.98 Laura Govan for PTO laptop and Quicken renewl,
6/8/15 ck#2564 $500.99 Laura Govan for Support of Quicken to restort corrupt files and 3yrs of support.</t>
        </r>
      </text>
    </comment>
    <comment ref="I55" authorId="1" shapeId="0" xr:uid="{00000000-0006-0000-0000-000070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12/14/15 ck#2623 $24.17 Cindy (Ramsey) Melendez for box top supplies.
2/24/16 ck#2649 $27.26 Cindy Melendez for boxtop supplies</t>
        </r>
      </text>
    </comment>
    <comment ref="I56" authorId="1" shapeId="0" xr:uid="{00000000-0006-0000-0000-000071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1/11/16 ck#2632 $49 Laura Govan for stamps
3/3/16 Debt $16.67 Staples for printer paper
3/31/16 $183.55 PNC check printing fee for new checks and deposit slips.
</t>
        </r>
      </text>
    </comment>
    <comment ref="A57" authorId="1" shapeId="0" xr:uid="{00000000-0006-0000-0000-000072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Moved and merged with Grade Level programs</t>
        </r>
      </text>
    </comment>
    <comment ref="C57" authorId="2" shapeId="0" xr:uid="{00000000-0006-0000-0000-000073000000}">
      <text>
        <r>
          <rPr>
            <sz val="8"/>
            <color indexed="81"/>
            <rFont val="Tahoma"/>
            <family val="2"/>
          </rPr>
          <t>ck#2271 10/10/12 $180.00 Walter Choroszewski Programs:Individual Programs 4th Grade Presenter-ck#2228 lost re-issued a new one 
ck#2343 6/6/13 $180.00 Walter Choroszewski (4th Grade Speaker) 
ck#2344 6/6/13 $425.00 Snakes and Scales (4th grade program)</t>
        </r>
        <r>
          <rPr>
            <sz val="8"/>
            <color indexed="81"/>
            <rFont val="Tahoma"/>
            <family val="2"/>
          </rPr>
          <t xml:space="preserve">
ck#2358 6/19/13 $215.00 Monica Burch </t>
        </r>
      </text>
    </comment>
    <comment ref="E57" authorId="3" shapeId="0" xr:uid="{00000000-0006-0000-0000-000074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#2458 $180.00 Walter Choroszzewski Historian Presentation 4th grade
#2460 $450 Snakes and Scales 4th Grade program</t>
        </r>
      </text>
    </comment>
    <comment ref="G57" authorId="1" shapeId="0" xr:uid="{00000000-0006-0000-0000-000075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6/9/15 ck#2566 $375 Snakes N Scales 4th grade,
6/9/15 ck#2567 $180 Walter Choroszewski 4th grade,</t>
        </r>
      </text>
    </comment>
    <comment ref="C58" authorId="2" shapeId="0" xr:uid="{00000000-0006-0000-0000-000076000000}">
      <text>
        <r>
          <rPr>
            <sz val="8"/>
            <color indexed="81"/>
            <rFont val="Tahoma"/>
            <family val="2"/>
          </rPr>
          <t>ck#2248 8/17/12 Mobile Ed Productions (9/28/12 deposit) $347.50
ck#2249 8/17/12 Mobile Ed Productions (9/27/12 deposit) $347.50
ck#2257 9/10/12 Monica Burch (Enrichment materials for Planentarium 9/27 &amp; 9/28 $1368.39
ck#2272 10/19/12 Mobile Ed Productions (9/28/12 balance due) $347.50
ck#2273 10/19/12 Mobile Ed Productions (9/27/12 balance due) $347.50
ck#2276 10/22/12 World of Rope Jumping $1750.00
ck#2286 12/10/12 Living Voices, Inc. $728.00
ck#2292 1/4/13 The Shakespeare Theatre of NJ (50% deposit) $540.00 
ck# 2294 1/17/13 Kits Interactive Theatre $1050.00
ck#2325 3/27/13 The Shakespeare Theatre of NJ $540.00 (Balance due)
ck#2346 6/6/13 $740.68 Karna Johnson  (Ward's Science)
ck#2358 6/19/13 Monica Burch $963.36</t>
        </r>
      </text>
    </comment>
    <comment ref="D58" authorId="3" shapeId="0" xr:uid="{00000000-0006-0000-0000-000077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12/13 PTO Meeting voted to move $3000 to Musical Budget from Programs and Assemblies. Decreased budged from $8,500 to $5,500. 
2/14 PTO voted to move $2,300 from program and assemblies to Tutor Mentor. Decreased budget from $5,500 to $3,200.</t>
        </r>
      </text>
    </comment>
    <comment ref="E58" authorId="3" shapeId="0" xr:uid="{00000000-0006-0000-0000-000078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2400 12/2/13 $540 50% deposit Shakespeare Theatre
ck 2412 2/21/14 $750                    50% deposit - Speaker Gian Paul Gonzalex. 
Ck 2418 3/18/14 $540 final Shakespeare Theatre
ck 2465 $78.20 Teacher of the Year Gift Card Marisa Austenberg</t>
        </r>
      </text>
    </comment>
    <comment ref="G58" authorId="0" shapeId="0" xr:uid="{00000000-0006-0000-0000-000079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9/23/14 ck#2480 $2500.00 Visions in Motion assemblies, 10/7/14 ck#2482 $347.50 Mobile Ed Productions Inc. for assembly on 10/31/14, 10/7/14 ck#2483 $100 Stirling Hallmark for balloons for 9/29/14 assembly, 10/15/14 ck#2487 $1,100.00 Kit's Interactive Theatre, Inc. for middle school assembly;11/11/14 ck#2497 $347.50 Mobile Ed Productions balance of 10/31/14 Assembly, 11/25/14 ck#2502 $250 The Shakespeare Theatre of NJ programs and assemblies 3/2/15 deposit, 
1/21/15 ck#2516 $1100.00 Kits Interactive Theatre for 2/6/15 
program,
2/9/15 ck#2523 $50 Lis Loeb Deposit for George Washington assembly.
3/2/15 Ck#2522 $200 Michael Grillo, balance of George Washington assembly.
4/9/15 ck#2538 $830 The Shakespeare Theatre of NJ 4/13 assembly</t>
        </r>
      </text>
    </comment>
    <comment ref="C59" authorId="2" shapeId="0" xr:uid="{00000000-0006-0000-0000-00007A000000}">
      <text>
        <r>
          <rPr>
            <sz val="8"/>
            <color indexed="81"/>
            <rFont val="Tahoma"/>
            <family val="2"/>
          </rPr>
          <t>ck#2291 12/23/12 To Young Audiences $1130.00 
ck#2326 4/9/13 Monica Burch (books for Author Brad Herzog visit) $388.25</t>
        </r>
        <r>
          <rPr>
            <sz val="8"/>
            <color indexed="81"/>
            <rFont val="Tahoma"/>
            <family val="2"/>
          </rPr>
          <t xml:space="preserve">
ck#2327 4/16/13 Brad Herzog (Author Visit) $1188.00
ck#2358 6/19/13 Monica Burch (Author Visit) $1,293.75</t>
        </r>
      </text>
    </comment>
    <comment ref="E59" authorId="3" shapeId="0" xr:uid="{00000000-0006-0000-0000-00007B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6/18/14 #2461 $1,360 Huga Tuga Creations Author visit </t>
        </r>
      </text>
    </comment>
    <comment ref="I59" authorId="1" shapeId="0" xr:uid="{00000000-0006-0000-0000-00007C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10/9/15 ck#2594 $597.50 Mobile Ed Productions for STEAM Museum.
10/13/15 ck#2593 $3000.00 Joshua Gunderson, Bullying Assembly
10/29/15 ck#2595 $597.50 balance for STEM musuem.
12/21/15 ck#2617 $1100 Kits Interactie Theatre for 12/18 assembly.
1/20/16 ck#2627 $306.25 deposit to The Shakespeare Theatre of NJ for 6-8th Romeo &amp; Juliet
3/15/16 ck#2628 $918.75 The Shakespeare Theatre of NJ balance of R&amp;J.</t>
        </r>
      </text>
    </comment>
    <comment ref="I60" authorId="1" shapeId="0" xr:uid="{00000000-0006-0000-0000-00007D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A61" authorId="1" shapeId="0" xr:uid="{00000000-0006-0000-0000-00007E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changed from Schoolwide Event
</t>
        </r>
      </text>
    </comment>
    <comment ref="C61" authorId="2" shapeId="0" xr:uid="{00000000-0006-0000-0000-00007F000000}">
      <text>
        <r>
          <rPr>
            <sz val="8"/>
            <color indexed="81"/>
            <rFont val="Tahoma"/>
            <family val="2"/>
          </rPr>
          <t>ck#2306 3/1/13 Let's Bloom Together $400.00 (Deposit</t>
        </r>
        <r>
          <rPr>
            <b/>
            <sz val="8"/>
            <color indexed="81"/>
            <rFont val="Tahoma"/>
            <family val="2"/>
          </rPr>
          <t>)</t>
        </r>
        <r>
          <rPr>
            <sz val="8"/>
            <color indexed="81"/>
            <rFont val="Tahoma"/>
            <family val="2"/>
          </rPr>
          <t xml:space="preserve">
ck#2342 6/6/13 Let's Bloom Together $1700.00
ck#2358 6/19/13 Monica Burch $3,900.00
</t>
        </r>
      </text>
    </comment>
    <comment ref="E61" authorId="3" shapeId="0" xr:uid="{00000000-0006-0000-0000-000080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12/19/13 ck#2402 $73 LaPizzaria winning homeroom - food drive.
1/24/14 ck #2407 $200  New Jersey Devils Fundraiser Tickets
2/20/14 CK#2410 $61.50 Tess Johnson - reimbursement for Rutgers Basketball Ticket purchase on personal charge card.
2/21/14 $858 New Jersey Devils Tickets (23 tickets). 
4/23/14 $100 #2442 Ryans Story % in addition to Municipal Alliance
5/1/14 $200 #2444 NJ Devils - game registration 2014-2015 pre-schedule.</t>
        </r>
      </text>
    </comment>
    <comment ref="G61" authorId="0" shapeId="0" xr:uid="{00000000-0006-0000-0000-000081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12/22/14 ck#2510 $300 dept. Glassworks Studio Schoolwide event - 6th grade project, 
1/29/15 ck#2518 $1189.00 Glassworks balance of 6th grade project,
3/13/15 ck#2532 $500 Insectarium "Bugs" K,
3/13/15 ck#2533 $105 Anna Spitaleri dept for "Weather" 3rd grade,
4/15/15 ck#2540 $430.50 to High Tech High Touch for 3rd grade "weather",
4/25/15 ck#2443 $70 Hightouch Hightech 5th &amp; 6th grade weather deposit.
4/24/15 ck#2550 $250 New Jersey Audubon 2nd grade turtle outting,
6/3/15 ck#2560 $475 Jenkinson's Aquarium 1st grade "Penguins",
6/9/15 ck#2561 $992.50 High Touch High Tech for 5th (Chem Lab) &amp; 6th (Gem Dig) grade. programs.
6/15/15 ck#2571$245 USGA for 7th grade trip,
6/11/15 ck#2570 $575 Unique Creatures assembley,
</t>
        </r>
      </text>
    </comment>
    <comment ref="I61" authorId="1" shapeId="0" xr:uid="{00000000-0006-0000-0000-000082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A62" authorId="1" shapeId="0" xr:uid="{00000000-0006-0000-0000-000083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Changed from Schoolwide Event Reserve.
</t>
        </r>
      </text>
    </comment>
    <comment ref="I62" authorId="1" shapeId="0" xr:uid="{00000000-0006-0000-0000-000084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ck#3604 $400 Bruce Blitz for 7th grade.
2/16/16 ck#2640 $150 Glassworks deposit 6th grade
2/25/16 ck#2651 $1,274.00 Glassworks balance of 6th grade
5/19/16 ck#2669 $475 Jenkinson's Aquarium 1st grade Penguin visit.
5/31/16 ck#2674 $1800 Kenn Nesbitt Author visit 2nd Grade.
</t>
        </r>
      </text>
    </comment>
    <comment ref="A65" authorId="1" shapeId="0" xr:uid="{00000000-0006-0000-0000-000085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Previously called Halloween Carnival, now merged with Halloween Spooktacular.
</t>
        </r>
      </text>
    </comment>
    <comment ref="C65" authorId="2" shapeId="0" xr:uid="{00000000-0006-0000-0000-000086000000}">
      <text>
        <r>
          <rPr>
            <sz val="8"/>
            <color indexed="81"/>
            <rFont val="Tahoma"/>
            <family val="2"/>
          </rPr>
          <t xml:space="preserve">ck#2265 9/27/12 Gina Fernadez $197.48 </t>
        </r>
        <r>
          <rPr>
            <sz val="8"/>
            <color indexed="81"/>
            <rFont val="Tahoma"/>
            <family val="2"/>
          </rPr>
          <t xml:space="preserve">
ck#2267 9/27/12 Erin Cross $26.07
</t>
        </r>
      </text>
    </comment>
    <comment ref="E65" authorId="3" shapeId="0" xr:uid="{00000000-0006-0000-0000-000087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CK #2392 $540 Luna Rosa 10/26/13 Pizza Split between Hall. Carnival and Spook. ($350 and $190)</t>
        </r>
      </text>
    </comment>
    <comment ref="G65" authorId="0" shapeId="0" xr:uid="{00000000-0006-0000-0000-000088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11/4/14 Ck#2493 $142.31 Susan Corbett for reimbursement of flyers and posters from Staples, 10/24/14 ck#2490 Luna Rosa $458 for Pizza, 11/10/14 Ck#2495 Suzie Stevinson $67.43,</t>
        </r>
      </text>
    </comment>
    <comment ref="E66" authorId="3" shapeId="0" xr:uid="{00000000-0006-0000-0000-000089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Ck#2392 $540 Luna Rosa 10/26/13 Split $350 Halloween Carn. And $190 Spooktacular
12/2/13 Ck#2398 $21.00 Marisa Austenberg Hallloween supplies </t>
        </r>
      </text>
    </comment>
    <comment ref="I66" authorId="1" shapeId="0" xr:uid="{00000000-0006-0000-0000-00008A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10/30/15 ck#2605 $100 for cashbox
11/12/15 ck#2606 $900 Bedminster Pizza
11/13/15 ck#2610 $327.99 Susan Corbett for Halloween Carnival &amp; Middle school dance supplies
1/5/15 ck#2611 $69.89 Suzie Stevinson for carnival and dance supplies. 
1/13/16 ck#2631 $52.46 Tony Costello dj at dance for supplies.</t>
        </r>
      </text>
    </comment>
    <comment ref="A67" authorId="0" shapeId="0" xr:uid="{00000000-0006-0000-0000-00008B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Name of this category was changed by vote at June PTO meeting from Holiday Tea to (Fall) Conference Hospitality</t>
        </r>
      </text>
    </comment>
    <comment ref="E67" authorId="3" shapeId="0" xr:uid="{00000000-0006-0000-0000-00008C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2416 3/18/14 $200 Kori Edwards</t>
        </r>
      </text>
    </comment>
    <comment ref="G67" authorId="0" shapeId="0" xr:uid="{00000000-0006-0000-0000-00008D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11/18/14 ck#2499 $207 Perrotti's - sandwiches for fall P/T Conf., 11/25/14 ck# 2503 $28.96 Anna Spitaleri - food for fall P/T Conf.</t>
        </r>
      </text>
    </comment>
    <comment ref="C68" authorId="2" shapeId="0" xr:uid="{00000000-0006-0000-0000-00008E000000}">
      <text>
        <r>
          <rPr>
            <sz val="8"/>
            <color indexed="81"/>
            <rFont val="Tahoma"/>
            <family val="2"/>
          </rPr>
          <t>ck#2258 9/11/12 The Camp Spot $351.50 (Spirit wear tshirts for Kindergarten kids)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8" authorId="0" shapeId="0" xr:uid="{00000000-0006-0000-0000-00008F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10/21/14 ck#2489 for $300 The Camp Spot for t-shirts for Kindergarten Orientation;</t>
        </r>
      </text>
    </comment>
    <comment ref="I68" authorId="1" shapeId="0" xr:uid="{00000000-0006-0000-0000-000090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12/3/15 ck#2613 $200 Jen Calpin </t>
        </r>
      </text>
    </comment>
    <comment ref="C69" authorId="2" shapeId="0" xr:uid="{00000000-0006-0000-0000-000091000000}">
      <text>
        <r>
          <rPr>
            <sz val="8"/>
            <color indexed="81"/>
            <rFont val="Tahoma"/>
            <family val="2"/>
          </rPr>
          <t>ck# 2330 $39.82 Kim Rich (K Screening refreshments for parents and children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3" shapeId="0" xr:uid="{00000000-0006-0000-0000-000092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6/5/14 $28.96 #2453 Kim Rich water &amp; snacks</t>
        </r>
      </text>
    </comment>
    <comment ref="C70" authorId="2" shapeId="0" xr:uid="{00000000-0006-0000-0000-000093000000}">
      <text>
        <r>
          <rPr>
            <sz val="8"/>
            <color indexed="81"/>
            <rFont val="Tahoma"/>
            <family val="2"/>
          </rPr>
          <t xml:space="preserve">ck#2332 5/8/13 $600.00 Trattoria Mediterranea (Food) </t>
        </r>
        <r>
          <rPr>
            <sz val="8"/>
            <color indexed="81"/>
            <rFont val="Tahoma"/>
            <family val="2"/>
          </rPr>
          <t xml:space="preserve">
ck#2335 5/18/13 $391.43 Suzie Stevinson (Food, Decorations and lottery tickets)
ck#2336 5/18/13 Faith Costable $71.00 (Mozzarella)</t>
        </r>
      </text>
    </comment>
    <comment ref="E70" authorId="3" shapeId="0" xr:uid="{00000000-0006-0000-0000-000094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ck#2445 $114.91 5/6/14 Shoprite - Pork and fruit
ck#2446 $166.92 5/7/14 Shoprite Chicken and Wrapped sandwiches
ck#2447 $91.13 5/7/14 Tess Johnson food and decorations
ck# 2454 $58.75 (Split Check total $381.62)
</t>
        </r>
      </text>
    </comment>
    <comment ref="G70" authorId="1" shapeId="0" xr:uid="{00000000-0006-0000-0000-000095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5/12/15 ck#2556 $55.99 Cindy Melendez for supplies,
5/14/15 ck#2558 $215.92 Marie Elena (Mimi) Brown for all paper goods for luncheon.
6/8/15 ck#2565 $131.20 Lynne Allegra for food &amp; drinks,
6/17/15 ck#2572 $649.86 Suzie Stevinson for lunch &amp; supplies.</t>
        </r>
      </text>
    </comment>
    <comment ref="C71" authorId="2" shapeId="0" xr:uid="{00000000-0006-0000-0000-000096000000}">
      <text>
        <r>
          <rPr>
            <sz val="8"/>
            <color indexed="81"/>
            <rFont val="Tahoma"/>
            <family val="2"/>
          </rPr>
          <t>ck#2274 10/18/12 Donna Connelly (water) $27.00</t>
        </r>
        <r>
          <rPr>
            <sz val="8"/>
            <color indexed="81"/>
            <rFont val="Tahoma"/>
            <family val="2"/>
          </rPr>
          <t xml:space="preserve">
ck#2275 10/18/12 Kimberly Rich (sweets) $178.32</t>
        </r>
      </text>
    </comment>
    <comment ref="E71" authorId="3" shapeId="0" xr:uid="{00000000-0006-0000-0000-000097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ck#2391 $164.00 Kim Rich hospitality supplies, 4 requests - $14.94, $34.40, $49.90, and &amp;65.52</t>
        </r>
      </text>
    </comment>
    <comment ref="G71" authorId="0" shapeId="0" xr:uid="{00000000-0006-0000-0000-000098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10/11/14 ck#2484 $251.88 Kimberly Rich (Hospitality food &amp; refreshments)</t>
        </r>
      </text>
    </comment>
    <comment ref="I71" authorId="1" shapeId="0" xr:uid="{00000000-0006-0000-0000-000099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5/9/12 ck#2665 $106.34 Jessica Pascale supplies utensils, cups, plates, geranioms
5/10/16 ck#2666 $41.78 Lori Crowell balloons &amp; tableclothes
5/12/16 Ck#2664 $726 Café Picasso for food
5/16/16 ck#2667 $113.37 Cecelia Lardieri coffee cups, dessert plates, napkins</t>
        </r>
      </text>
    </comment>
    <comment ref="C72" authorId="2" shapeId="0" xr:uid="{00000000-0006-0000-0000-00009A000000}">
      <text>
        <r>
          <rPr>
            <sz val="8"/>
            <color indexed="81"/>
            <rFont val="Tahoma"/>
            <family val="2"/>
          </rPr>
          <t>ck#2262 9/20/12 Faith Costabile $353.89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2" authorId="0" shapeId="0" xr:uid="{00000000-0006-0000-0000-00009B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 9/11/14 ck#2475 $8.00 Suzie Stevinson, 10/11/14 ck#2486 $105.90 McCools Ice Cream,</t>
        </r>
      </text>
    </comment>
    <comment ref="I72" authorId="1" shapeId="0" xr:uid="{00000000-0006-0000-0000-00009C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10/14/15 ck#2598 $243.19 Kimberly Rich supplies &amp; food.</t>
        </r>
      </text>
    </comment>
    <comment ref="C73" authorId="2" shapeId="0" xr:uid="{00000000-0006-0000-0000-00009D000000}">
      <text>
        <r>
          <rPr>
            <sz val="8"/>
            <color indexed="81"/>
            <rFont val="Tahoma"/>
            <family val="2"/>
          </rPr>
          <t xml:space="preserve">ck#2351 6/11/13 $135.90 Renee Hachey (Nurses luncheon, gifts and flowers)
ck#2352 6/18/13 $312.66 (Custodian Appreciation Day) </t>
        </r>
      </text>
    </comment>
    <comment ref="I73" authorId="1" shapeId="0" xr:uid="{00000000-0006-0000-0000-00009E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9/14/15 ck#2587 $105.90 McCool's Ice Cream for ice cream.</t>
        </r>
      </text>
    </comment>
    <comment ref="C74" authorId="2" shapeId="0" xr:uid="{00000000-0006-0000-0000-00009F000000}">
      <text>
        <r>
          <rPr>
            <sz val="8"/>
            <color indexed="81"/>
            <rFont val="Tahoma"/>
            <family val="2"/>
          </rPr>
          <t>ck#2255 9/4/12 Luna Rossa $500.00</t>
        </r>
        <r>
          <rPr>
            <sz val="8"/>
            <color indexed="81"/>
            <rFont val="Tahoma"/>
            <family val="2"/>
          </rPr>
          <t xml:space="preserve">
ck#2256 9/4/12 Amy Herrick $269.29
ck#2268 10/2/12 Weng Pineda $15.47</t>
        </r>
      </text>
    </comment>
    <comment ref="E74" authorId="3" shapeId="0" xr:uid="{00000000-0006-0000-0000-0000A0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ck #2374 $675 Luna Rossa Welcome Back Lunch 9/5/13
ck#2376 $71.84 Marisa Austenberg Welcome Back Lunch 9/12/13
ck #2377 $141.00 Marisa Austenberg Welcome Back Lunch </t>
        </r>
      </text>
    </comment>
    <comment ref="G74" authorId="0" shapeId="0" xr:uid="{00000000-0006-0000-0000-0000A1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9/2/14 Ck#2471 $121.62 Ana Spitaleri for supplies purchased at Costco, 9/2/14 ck#2473 Marisa Austenberg for cake $60, Coffee for teachers gift $59.18, salad $25.11, 9/2/14 ck#2472 $695.59 King's for sandwiches, 9/11/14 ck#2475 $24.81 Suzie Stevinson,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75" authorId="1" shapeId="0" xr:uid="{00000000-0006-0000-0000-0000A2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ck#2582 $368.29 Gina Fernandez
9/16/15 ck#2583 $304.09 Linda Fragassi</t>
        </r>
      </text>
    </comment>
    <comment ref="C77" authorId="2" shapeId="0" xr:uid="{00000000-0006-0000-0000-0000A3000000}">
      <text>
        <r>
          <rPr>
            <sz val="8"/>
            <color indexed="81"/>
            <rFont val="Tahoma"/>
            <family val="2"/>
          </rPr>
          <t xml:space="preserve">ck#2339 5/23/13 $1569.46 Schoolkidz (Paper order forms-deposit 5/22/13)
</t>
        </r>
      </text>
    </comment>
    <comment ref="G77" authorId="0" shapeId="0" xr:uid="{00000000-0006-0000-0000-0000A4000000}">
      <text>
        <r>
          <rPr>
            <b/>
            <sz val="9"/>
            <color indexed="81"/>
            <rFont val="Tahoma"/>
            <family val="2"/>
          </rPr>
          <t xml:space="preserve">Laura Govan: </t>
        </r>
        <r>
          <rPr>
            <sz val="9"/>
            <color indexed="81"/>
            <rFont val="Tahoma"/>
            <family val="2"/>
          </rPr>
          <t xml:space="preserve">9/26/14 ck#2481 Anna Spitaleri for $938.60 for Bulldog Magnets,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7" authorId="1" shapeId="0" xr:uid="{00000000-0006-0000-0000-0000A5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10/20/15 ck#2603 $10,000 Bedminster Township School for 2013-2014 PTO Gift.
1/7/15 ck#2622 $2820 York Fence Co. deposit for fence for outdoor classroom project. Part of 2014-2015 PTO Gift.
1/22/16 ck#2637 $4400 York Fence, balance for outdoor classroom project.</t>
        </r>
      </text>
    </comment>
    <comment ref="C79" authorId="2" shapeId="0" xr:uid="{00000000-0006-0000-0000-0000A6000000}">
      <text>
        <r>
          <rPr>
            <sz val="8"/>
            <color indexed="81"/>
            <rFont val="Tahoma"/>
            <family val="2"/>
          </rPr>
          <t>ck#2349 $3000.00 6/11/13 Bedminster Township School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9" authorId="3" shapeId="0" xr:uid="{00000000-0006-0000-0000-0000A7000000}">
      <text>
        <r>
          <rPr>
            <b/>
            <sz val="9"/>
            <color indexed="81"/>
            <rFont val="Tahoma"/>
            <family val="2"/>
          </rPr>
          <t>Tess Johnson:</t>
        </r>
        <r>
          <rPr>
            <sz val="9"/>
            <color indexed="81"/>
            <rFont val="Tahoma"/>
            <family val="2"/>
          </rPr>
          <t xml:space="preserve">
2/14 PTO voted to move $2,300 additional from Program and Assemblies to Tutor Mentor.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joep</author>
    <author>Dave Govan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9/15/15 $50,845.09
10/13/15 $57,357.73
11/10/15 $35,064.92
12/1/15 $38,357.83
1/12/15 $32,628.97 *$32,128.97 less $500 pass thru for Helping Hands Hanratty Family.
3/7/16 $23,124.17
4/12/16 $47,543.24
5/9/16 $54,760.09
5/25/16 $52,930.60
6/8/16 $49,676.74
6/29/16 $43,205.61
6/30/16 $42,385.73
</t>
        </r>
      </text>
    </comment>
    <comment ref="C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9/2015 $93.81 balance
2/22/16 transfer $200 into account, balance $293.81
2/24/16 ck#117 $180.00 Bernardsville Print Center.
3/1/15 ck#118 $31.03 Anna Spitaleri
4/7/16 deposit $1,715
4/8/16 deposit $430
4/11/16 deposit $1,605
6/21/15 ck#123 $20 Legalized Games of Chance.</t>
        </r>
      </text>
    </comment>
    <comment ref="E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Beg. Bal $80. 2/6/17 Transfer $300 into acct.</t>
        </r>
      </text>
    </comment>
    <comment ref="B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3/4/15 ck#2530 $370
6/24/15 ck#2575 $20
6/29/15 ck#2578 $1000
</t>
        </r>
      </text>
    </comment>
    <comment ref="E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$50.66 Stacey Remick, Graduation Reception. $245.83 Paul Matinho, Graduation Reception</t>
        </r>
      </text>
    </comment>
    <comment ref="F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Ck#2792 $103.12, Ck#2795 $40, Ck#2802 $42.30, Ck#2809 $217.59</t>
        </r>
      </text>
    </comment>
    <comment ref="H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GLP; Ck# 1093 $280 Turtle Tunnels. CG; Ck#1106 $591 Book Bins.</t>
        </r>
      </text>
    </comment>
    <comment ref="I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GLP; Ck# 1093 $280 Turtle Tunnels. CG; Ck#1106 $591 Book Bins.</t>
        </r>
      </text>
    </comment>
    <comment ref="C1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12/21/15 deposit $500 for Helping Hands Donation.
6/3/16 $146 pass thru for books purchased for KRG (Grade Level Program) Author visit.
6/15/16 $497 &amp; $337 pass thru for Kenn Nesbitt book purchases.
</t>
        </r>
      </text>
    </comment>
    <comment ref="E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10/29/16 deposit $700 from Class of 2016 to help pay for Score Boards. 4/21/17 $90.77 Bookwork, rebate from W.Mass book order. 4/21/17 $18.90 World Wear Project. 5/26/17 $593.21 Display My Art.</t>
        </r>
      </text>
    </comment>
    <comment ref="G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$0.97 Square test. $799 Bookworm Book Orders rec'd. $14 BookWorm Book Orders rec'd.Ck#1026 $824.24 Bookworm Orders paid. Deposit $164.83 Bookworm Rebate.</t>
        </r>
      </text>
    </comment>
    <comment ref="C1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6/3/16 $146 pass thru for books purchased for Kenn Nesbitt (Grade Level Program) Author visit.</t>
        </r>
      </text>
    </comment>
    <comment ref="E1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9/14/16 H. Wolkow Company donation, deposit $492.46. 9/20/16 Empower donation for water fountain grant deposit $144.68. 10/7/16 Network for Good deposit $100. 11/7/16 Benevity C.I.F donation $135.18. 2/6/17 RWJ Co. Match, J. Bussel $100. 2/6/17 B.C.I.F. Match, H. Wolkow $116.52. 2/6/17 AmazonSmile $50.74. ($144.68) Empower Grant transferred to BHS.4/21/17 BCIF $58.26 Wolkow. 5/4/17 $537.24 BCIF (Wolkow).5/11/17 $39.12 Amazon Smile. 6/29/17 $60 4th Grade Donation.</t>
        </r>
      </text>
    </comment>
    <comment ref="G1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BCIF (H. Wolkow) $91.52. AmazonSmile $35.48. United Way (Ruzicka) $4,000. BCIF $97.10, $77.68, $77.68. AmazonSmile $30.29, $55.21, $39.99. $30 Screenagers donation. $116.80 India Hicks donation. $97.97 H.Wolkow donation.</t>
        </r>
      </text>
    </comment>
    <comment ref="C14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11/12/15 $5,300 Fall Fest Charities
</t>
        </r>
      </text>
    </comment>
    <comment ref="E14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2/8/17 $5000 Bedminster Charities Fall Fest</t>
        </r>
      </text>
    </comment>
    <comment ref="G14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$41 Pumpkin Contest. $6,300 BCFF donation.</t>
        </r>
      </text>
    </comment>
    <comment ref="C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deposits 10/1/15 for $431.94, $1,260.57, $2,132.24
deposits 10/5/15 for $157.35, $1,639.23, $2,623.86</t>
        </r>
      </text>
    </comment>
    <comment ref="E16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Book Fair Sales, 9/19/16 deposit $765.33, 9/20/16 deposit $879.02, 9/21/16 deposit $2,257.04, 9/22/16 deposit $2,534.54, 9/26/16 deposit $1,518.29</t>
        </r>
      </text>
    </comment>
    <comment ref="G16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$7,449.48 sales, $16.99 sales. $196.10 Donations collected. $60 sales. $40 sales.</t>
        </r>
      </text>
    </comment>
    <comment ref="A17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7/1/17 Changed name from 'Spring Fling' to Spring Fundraiser.</t>
        </r>
      </text>
    </comment>
    <comment ref="C17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1/22/16 $750 Ad revenue Janjua.
2/2/16 $370 Ads (Air Service &amp; CX Ent.)
2/8/16 $400 Ads
2/17/17 $295 Ads
2/18/16 $55 Ads
2/24/16 $55 &amp; $$500 Ads
3/3/16 $950 Ads
3/11/16 $455 Ads
3/17/16 $6,429.95 Eventbrite deposit for online admissions
3/18/16 $1,375 Ads
3/18/16 $775 Ads
3/22/16 $205 Ads
3/22/16 $4,715 Admission checks
3/28/16 $400 Ads
3/30/16 $1,250 Ads
4/1/16 $375 Ads
4/4/16 $150 Ads
4/5/16 $5,548.87 Admissions Eventbrite deposit
4/6/16 $750 Ads PNC Merchant Deposit
4/8/16 $300 Cash Donation in lieu of attentance.
4/11/16 Cash Deposit $3,525 for Silent Auction.
4/11/16 Cash Deposit $1,780 for Night of baskets/iPad raffle.
4/11/16 deposit $300 for Advertising (Goldman &amp; Stevinson).
4/11/16 PNC Merchant Deposit for Credit Card purchases for Silent Auction $5,280/baskets $510/Admissions $215.
4/12/16 PNC Merchant Deposit $1100 Silent Auction 2015,
4/13/16 PNC Merchant Deposit $1050 Silent Auction 2015,
4/13/16 $650 Checks for Silent Auction 2016,
4/14/16 $1,835 Checks for Admissions &amp; Baskets,
4/15/16 $5,219.25 EventBrite Payment,
4/25/16 $795 Checks for Silent Auction 2016,
4/25/16 $150 Advertisement.
4/27/16 $575 PNC Merch Deposit for Silent Auction (2015)
4/29/16 $100 ck deposit for Silent Auction (2015)
5/9/16 Online transfer from 50/50 account of $2405.70
5/13/16 $850 PNC Deposit for silent auction
5/18/16 $215 deposit for SF Admission
5/27/16 $590 deposit for Advertising ($500) and Silent Auction ($90).
</t>
        </r>
      </text>
    </comment>
    <comment ref="E17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2/8/17 Ad Rev.$150 Saker ShopRites, $75 Bedminster Ed Assoc., $55 D. Vu. 3/9/17 Ad Rev. $150 Crosstown Prop. 3/16/17 $4658.03 EventBrite Admissions. 3/20/17 Ad Rev. $1,350, Cash Admissions $140, Donation $50. 3/22/17 Ad Rev. $250. 4/3/17 $250 Donation.4/4/17 EventBrite Admissions $6,098.79. 4/5/17 Ad Rev $955.4/13/17 Ad Rev $875.4/14/17 Cash Admissions $430. 4/14/17 Ad Rev $570.4/18/17 EventBrite Admissions $3,246.26. 4/21/17 Ad Rev $525.4/21/17 Donation $25. 4/27/17 $150 AdRev CC. 4/28/17 $300 AdRev cash. 4/28/17 $245 cash admissions &amp; baskets. 5/1/17 $2,310 Night of cash sales. 5/1/17 $725 Night of credit card sales. 5/4/17 $12,611.86 Eventbrite batch.5/5/17 $9,828.04 Bidding for Good (Silent Auction).5/8/17 $50 8th Grade Donation. 5/15/17 $2,643.76 Trans. from 50/50 Raffle. 5/26/17 $141 Silent Auction &amp; Donation. 6/8/17 $290 Slient Auction. 6/29/17 $50 Silent Auction.</t>
        </r>
      </text>
    </comment>
    <comment ref="G1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Cash, Checks, Stripe and Square deposits.  Including Gross Bulldog Bonanza. See SF Report for detail.</t>
        </r>
      </text>
    </comment>
    <comment ref="E1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 xml:space="preserve">Mimi B: </t>
        </r>
        <r>
          <rPr>
            <sz val="9"/>
            <color indexed="81"/>
            <rFont val="Tahoma"/>
            <family val="2"/>
          </rPr>
          <t>8/8/16 deposit $2,097.50. 5/8/17 $540.40</t>
        </r>
      </text>
    </comment>
    <comment ref="G18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1/16/18 $627.80 5/9/18 $323.90</t>
        </r>
      </text>
    </comment>
    <comment ref="C2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Deposit's 9/14/15 $466 &amp; $150, 9/17/15 deposit's $630 &amp; $50, 9/22/15 deposit $355, 9/28/15 deposit $70
10/13/15 $95
11/12/15 $50
4/13/16 $10
</t>
        </r>
      </text>
    </comment>
    <comment ref="E20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9/14/16, $1,390 membership dues, 10/7/16 $301.01, 11/14/16, $195, 12/30/16, $50. 2/6/17 $10</t>
        </r>
      </text>
    </comment>
    <comment ref="G20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R. Melendez (Square) $9.72. Sept PTO Mtg $170. BTSNs $370+$60. $471.94 Stripe 9/15-10/9. $40+$110 Office. $143.25 Stripe 10/10-10/23. $620 Teachers. $19.12 Stripe 11/29. Stripe 1/12, 2/12 $19.12, $4.55</t>
        </r>
      </text>
    </comment>
    <comment ref="C21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9/17/15 deposit for magnet sales at Fall Fest $110.
9/28/15 deposit for magnet sales at Back to School night $80
1/14/16 deposit $931 from Camp Spot</t>
        </r>
      </text>
    </comment>
    <comment ref="E21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9/14/16 deposit $83 Fall Fest, 10/7 depost $85 Magnets sold BTSN, 12/30/16 $207.08 (less purchase for display case) Spirit Wear Sale. 2/8/17 $22, $18 Spirit wear sale from inventory. $40 sale from inventory. 6/29/17 Magnet Sale $10.</t>
        </r>
      </text>
    </comment>
    <comment ref="G21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Magnet sales $60. BTSNs Magnets $105. $95 Display cabinet items. $40 Magnets @FF.$138 spirit wear sale. $10 Magnets.</t>
        </r>
      </text>
    </comment>
    <comment ref="A22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7/1/17 Changed name from Halloween Events to Halloween Spooktacular.</t>
        </r>
      </text>
    </comment>
    <comment ref="C22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11/2/15 $835 from Carnival/trunk or treat</t>
        </r>
      </text>
    </comment>
    <comment ref="E2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deposit $590 admission</t>
        </r>
      </text>
    </comment>
    <comment ref="G22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$1,793 Admissions. $30 admissions.</t>
        </r>
      </text>
    </comment>
    <comment ref="A23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7/1/17 Changed name from Game Night to Family Night.</t>
        </r>
      </text>
    </comment>
    <comment ref="C23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11/24/15 dept $690
12/7/15 dept $55</t>
        </r>
      </text>
    </comment>
    <comment ref="C24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2/18/16 $648 Rutger's basketball game
2/18/16 $660 Devil's Hockey game
2/24/16 $96 Rutger's Game</t>
        </r>
      </text>
    </comment>
    <comment ref="E24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Mimi Brown:</t>
        </r>
        <r>
          <rPr>
            <sz val="9"/>
            <color indexed="81"/>
            <rFont val="Tahoma"/>
            <family val="2"/>
          </rPr>
          <t xml:space="preserve"> 7/14/16 deposit $574 Basketball Classic</t>
        </r>
      </text>
    </comment>
    <comment ref="E27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joep: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7/2/15:
MF $9.75, Merch Discount $24.99, Service Charge Period Ending 6/30/15 $33
8/3/15:
MF $9.75, M Disc $24.99
9/2/15:
MF $9.75, Merch Discount $24.99
10/2/15 MF $9.75, PNC Discount $24.99
11/2/15 $24.99 PNC Dis MF $9.75
12/24/15 PNC Dis MF $24.99, MF $9.75.
1/4/15 $25.99 PNC Dis MF, $9.75 MF
2/2/16 $24.99 Merch discount, $9.75 MF
3/2/16 $24.99 Merch Dis,
$9.75 MF
4/4/16 $12.94 MF, $24.99 Merchant Dis 
5/2/16 PNC Merch Fee $12.28, Merch Interchng $12.57, Merch Disc $245.41
6/2/16 Merch Disc $50.48
6/2/16 Merch Fee $9.60
6/2/16 Merch Interchg $1.02
</t>
        </r>
      </text>
    </comment>
    <comment ref="E31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Jun/Jul/Aug, Sept, Oct, Nov, Dec, Jan, Feb, Mar, Apr, May less ISF reimbursement $13 (L.Loeb) &amp; $13 (H. Wolkow).</t>
        </r>
      </text>
    </comment>
    <comment ref="G31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June/July, Aug plus $15 50/50 acct charge (June-Aug). $192.72 P/G checks and deposit slips.</t>
        </r>
      </text>
    </comment>
    <comment ref="C32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4/13/16 Ck#2655 $500 BHS Project Grad.</t>
        </r>
      </text>
    </comment>
    <comment ref="E32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Ck#2786 $500 BHS-HSA Project Graduation.</t>
        </r>
      </text>
    </comment>
    <comment ref="G32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Ck#1059</t>
        </r>
      </text>
    </comment>
    <comment ref="C33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11/16/15 ck#2612 $295 10/20 Alstede Farm trip
12/23/15 ck#2624 $990 11/20 Grounds for Sculpture.
5/23/16 ck#2671 $225 Matino's Inv#45793
5/23/16 ck#2672 $550 RVCC Inc#45793
5/23/16 ck#2673 $292 Mayo Perf Arts Inv#45792
6/6/16 ck#2684 $818 Red Mill inv#45844
6/6/16 ck#2683 $949
Dorney Park inv 2000.
6/20/16 ck#2696 $1,795 Invoice #'s 45881,45882,45883.</t>
        </r>
      </text>
    </comment>
    <comment ref="E33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Ck#2719 $500 Barker Bus, K FldTrip. Ck#2743 $575 Barker, Martino's.Ck#2779 $950 Barker Bus, Grounds for Sculpture. Ck#2783 $420 Barker Bus, Holocaust @ RVCC. 6/8/17 Bus Stipend from JCC for Holocaust Program @RVCC $210. Ck#2800 $1,675 USGA &amp; Great Swamp. Ck#2807 $3,612.50 MPAC, Farm, 6 Flags, Morris Museum, Veteran's Park. Ck#2812 $1,600 Red Mill Inn, Maiden Farmer.</t>
        </r>
      </text>
    </comment>
    <comment ref="G33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Ck#1023 $537.50 K Trip. Ck#1032 $875 GFS. Ck#1060 $1,750 Morris Museum &amp; Martinos. Ck#1086 $1,350 RVCC &amp; Fairview Farm.Ck#1100 $800 Great Swamp.Ck#1101$750 USGA.$400 reimbursement Jewish Federation.Ck#1102 $1,050 Dorney Park.</t>
        </r>
      </text>
    </comment>
    <comment ref="E34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ck#2713, $1,603.50 (6/2 Morris Museum, 6/2 Native Lands</t>
        </r>
      </text>
    </comment>
    <comment ref="F34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$325 Sophie's Bistro. $362.50 Noches de Colombia.</t>
        </r>
      </text>
    </comment>
    <comment ref="G34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Ck#2815 $687.50 Barker Bus.</t>
        </r>
      </text>
    </comment>
    <comment ref="E35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Ck#2728 $60 NJ Division of Consumer Affairs, tax extension.</t>
        </r>
      </text>
    </comment>
    <comment ref="G35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Ck#1020 $60 NJ Division of Consumer Affairs.</t>
        </r>
      </text>
    </comment>
    <comment ref="G36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Ck#1038 $987.68, S. Lefurge, costumes.</t>
        </r>
      </text>
    </comment>
    <comment ref="E37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Ck#2799 $151.26 T. Notte. Ck#2811 $391.70 Kaeser &amp; Blair, Inc. P.E. Day wristbands.</t>
        </r>
      </text>
    </comment>
    <comment ref="G37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Ck#1103 $82.86 T. Notte. Ck#1104 $124.76 M. Deegan.</t>
        </r>
      </text>
    </comment>
    <comment ref="C39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9/11/15 </t>
        </r>
        <r>
          <rPr>
            <sz val="9"/>
            <color indexed="81"/>
            <rFont val="Tahoma"/>
            <family val="2"/>
          </rPr>
          <t>ck#2585 petty cash for cash box.</t>
        </r>
      </text>
    </comment>
    <comment ref="G39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Ck#1011 C. Melendez, Table Decorations.</t>
        </r>
      </text>
    </comment>
    <comment ref="C40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9/25/15 ck#2592 $150 Cash, start up cash for registers.
10/20/15 ck#2601 $8086.85 Scholastic Book Fair</t>
        </r>
      </text>
    </comment>
    <comment ref="E40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9/19/16 $202 Start up. 9/29/16 ck#2712 $7,760.13</t>
        </r>
      </text>
    </comment>
    <comment ref="G40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Ck#1008 Scholastic BF. Ck#1012 $45.26 D. Fredella, Flyers. Ck#1014 $195.39 Scholastic Donation.</t>
        </r>
      </text>
    </comment>
    <comment ref="E41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ck#2711 $31.57 J. Coleman, Box Top Basket Raffle, ck#2718 $86.20, R. Melendez, Box Top Awareness &amp; Banner, Ck#2732, R. Melendez, Silly String. Ck#2754 $50, R. Melendez, Contest Winner prize.</t>
        </r>
      </text>
    </comment>
    <comment ref="C42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ck#2579 7/1/15 Trump National deposit for Spring Fling.
12/3/15 ck#2602 $20 LGCCC for 50/50 raffle
1/13/16 ck#2629 $245 Marisa Austenberg reimbursement for solicitor mailing from Bernardsville Print Center.
1/13/16 ck#2630 $51.01 Marisa Austenberg for supplies for binder organization.
1/25/16 ck#2635 $40 to Bedminster Township for permit for basket &amp; 50/50 raffles.
2/4/16 ck#2638 $350.05 Bernardsville Print Center, envelopes and sandwich boards
2/18/16 Debt USPS $245 Stamps for invite mailing
2/22/16 $200 Online transfer to 50/50 account for printing
2/22/16 ck#2643 $205.10
Suzie Stevinson paper &amp; printing for backpack mailing
2/23/16 ck#2644 $86.15 Jessica Pascale ribbon supplies for baskets 
2/24/16 ck#2650 $549.84 Bernardsville Print Center for invite printing
3/16/16 ck#2653 $222 Jodi Coleman for basket supplies
3/30/16 ck#2656 $40 Bernardsville Print/SF Posters,
4/4/16 ck#2657 $5,625 Trump Nat'l/2nd payment
4/7/16 ck#2658 $150 Cash for cashbox night of.
4/7/16 ck#2659 $150 Cash for Tip for staff at Trump night of.
4/7/16 $641.41 Debt purchase at Bernardsville Printing/printing night of signs
4/8/16 $952.87 Debt purchase at Bernardsville Printing/printing of basket sponsor and silent auction signs for night of.
4/21/16 ck#2662 $14.58 Anna Spitaleri reimbursement for iPad raffle barrel rental.
5/2/16 ck#2663 $5,350 Trump Nat'l balance.
2/5/16 ck#2638 $20 LGCCC for 50/50 raffle
2/5/16 ck#2634 $20 for basket raffle
6/15/16 ck#2690 $420 The Recorder Publishing Co Thank You Ad in BV News.6/21/16 ck#2697 $104.82 Anna Spitaleri Thank you photo cards &amp; postage</t>
        </r>
      </text>
    </comment>
    <comment ref="E42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ck#2715 $2,500 Trump Nat'l deposit for SF, ck#2733 $93.90, A.Spitaleri, SF Solicitation exp, Ck#2736 $244.58 Bernardsville Print Center; SF Mailing. USPS $235 stamps, Dbt Card. USPS $235 stamps, Dbt Card. Ck#125 $20, Bedminster Twnshp (50/50). Ck#127 $20, Bedminster Twnshp (baskets). Ck#128 $27.41 A.Spitaleri 50/50 Instructions. Ck#129 $180 Bernardsville Print 50/50 tix. USPS $245 Stamps, Dbt Card. Ck#2746 $103.96 J. Pascale, SF Ribbon. Ck#2755 $295.03, B'ville Print, Save the Date. Ck#130 $73.97 B'ville Priint, 50/50 Return Envelopes. Ck#2757 $7,687.50, Trump Nat'l 50% deposit. DebitCard $249, Bidding For Good.Ck#2762 $180.86 J.Coleman, baskets. Ck#2763 $522.64 B'ville Print.Ck#2767 $3,397.50 Trump Final. Ck#2774 $15 KenRent. Ck#135 $14.16 KenRent 50/50. Ck#2775 $31.52 A.Spitaleri, printing. Ck#2776 $1,031.57 B'ville Print. Ck#2778 $183.20 J.Coleman Basket Supplies. Ck#2782 $3,397.50 Trump Nat'l FINAL. Ck#2784 $165 12 Meter Charters, SA Consignment Item. Ck#2790 $253.59 S. Corbett, SA Expense. DebitCard $901.62 Bidding for Good/Frontstream/Slient Auction.</t>
        </r>
      </text>
    </comment>
    <comment ref="G42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Ck#1007 $500 Ryland Inn deposit. Ck#1030 $20 Readington Twnshp, Basket raffle.Ck#1031 $20 LGCCC, Basket raffle. Ck#113 (50/50) $120 LGCCC.Ck#114 (50/50) $120 Readington Twnshp. DbtC $36.81 Raffle Drum. Ck#1033 $176.07, S. Ruzicka, solicitations. Ck#1039 $45.23, J. Coleman, basket shred &amp; celo. Ck#103.90, J.Pascale, ribbon. Ck#1046 $61.50 S. Ruzicka, adv. flyer.Ck#115 (50/50 Acct) $153.30,  Print BB tix. Ck#1052 $200.05 B'ville PC. Ck#1054 $257.02 S. Ruzicka. Ck#1057 $12,920 Ryland Inn. Ck#1061 $25.20 S. Ruzicka. Ck# 1062 $33.19 M. Austenberg. Ck#1065 $805.20 Ryland Inn FINAL. Ck#1090 $345 Recorder Publishing, thank you ad.</t>
        </r>
      </text>
    </comment>
    <comment ref="F43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Ck#2816 $345 Recorder Publishing.Ck#2817 $150 B'ville Print. Ck#2818 $406.01 FINAL Trump Nat'l.</t>
        </r>
      </text>
    </comment>
    <comment ref="G43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Ck#2816 $345 Recorder Pub. Ck#2817 $150 B'ville Print. Ck#2818 $406.01 Trump Nat'l.</t>
        </r>
      </text>
    </comment>
    <comment ref="C44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11/20/15 withdrawl $50 for cashbox
11/30/15 ck#2615 $40 Bernardsville Print Center for P.R.
12/14/15 ck#2621 $388 Ceaco (GameWright Co.)</t>
        </r>
      </text>
    </comment>
    <comment ref="C45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2/24/16 ck#2648 $520 Chase Card Service's for Rutger's basketball tix 
2/25/16 ck#2646 $596.09 New Jersey Devil's for hockey tix
3/22/16 ck#2654 $544.49 Chase Card Services for NJ Devil's tix</t>
        </r>
      </text>
    </comment>
    <comment ref="E45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7/14/16 $574 Basketball Classic</t>
        </r>
      </text>
    </comment>
    <comment ref="C48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2/22/16 ck#2643 $79.98 Suzie Stevinson Teacher of the Year gift
3/3/16 ck#2642 $100 Grayson C. Meyer College Fund (Chief Meyer's memorial gift)</t>
        </r>
      </text>
    </comment>
    <comment ref="E48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$50 Hospice donation for T. Collins husband, Dbt Card. $75 Amazon gc for Teacher of the Year, Dbt Card.DebitCard $50 Ronald McDonald House, C. Gattone's dad.</t>
        </r>
      </text>
    </comment>
    <comment ref="G48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DbtC $110 'We Caring' donation, C. Gattone grandson. DbtC $75 Amazon gc for Educator of the Year. Retirement gcs for Hofman, Roth, Mathez &amp; Marone.</t>
        </r>
      </text>
    </comment>
    <comment ref="C49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6/8/16 ck#2685 $382.13 Michele Zanzonico for 8th grade grad reception gifts.
6/28/16 ck#2701 
$266.40 Rebecca Gilman for reception supplies: ice, fruit, cake, cupcakes.6/22/16 ck#2700 $345 Tracey Schuller for balloons
</t>
        </r>
      </text>
    </comment>
    <comment ref="E49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Ck#2810 $1,500 Mariellen Reaves</t>
        </r>
      </text>
    </comment>
    <comment ref="G49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Ck#1105 $980.23 R. Caputo.</t>
        </r>
      </text>
    </comment>
    <comment ref="C50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5/24/16 ck#2670 $225 Bedminster School</t>
        </r>
      </text>
    </comment>
    <comment ref="E50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Ck#2765 BTS $200 Award Night (8 awards).</t>
        </r>
      </text>
    </comment>
    <comment ref="G50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Ck#1066 $200 Bedminster School.</t>
        </r>
      </text>
    </comment>
    <comment ref="B51" authorId="1" shapeId="0" xr:uid="{00000000-0006-0000-0100-000052000000}">
      <text>
        <r>
          <rPr>
            <b/>
            <sz val="9"/>
            <color indexed="81"/>
            <rFont val="Tahoma"/>
            <family val="2"/>
          </rPr>
          <t xml:space="preserve">Laura Govan: 11/18/14 ck#2499 Perrotti's Hospitality parent/teacher conferences,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9/17/15 ck#2589 $227.40 to Staples Advantage/Godrey's Grant for 5th&amp;6th grade binder organizers.
9/16/15 ck#2588 $540.10 Really Good Stuff/Alfieri Grant for book binds.
9/18/15 ck#2590 $319.19
Kobay/Reading Center,
10/15/15 ck#2600 $309.99 Suzie Stevinson reimursement for Alfieri iPad grant.
11/10/15 ck#2607 $135 Laura Govan reimbursement for online purchase of "Sugar Skulls" for Griffith Grant.
11/8/15 ck#2608 $319.12
Alfieri Grant "book bins"
11/20/15 ck#2609 $619 Aussie Pouch Co. 4th Grade grant for chair pockets
11/30/15 ck#2618 $23.10 Laura Govan reimbursement for Marlott mini-grant for Mercy Watson book set.
12/1/15 ck#2616 $133.25  Really Good Stuff for Sherry Marlott mini-grant.
12/29/15 ck#2625 $149.97 Andrea Burke reimbursment for "Nearpod".
1/25/16 DebtCard purchase $717 Aussie Pouch for McFarland Grant.
1/25/16 DebtCard purchase Really Good Stuff $275.29 for book pouches for McFarland (K).
1/29/16 DebtCard purchase $138.38
Cajun Chess for 3rd &amp; 4th grade classroom chess sets.
2/9/16 ck#2639$150 Oceanic Society for Hofman Sea Turtle expert
2/24/16 Debt $373.75 Bouncy Bands - Mancini 
3/24/16 ck#2652 $426 for CAP Grant
4/5/16 $27.76 Debt purchase Carson Dellosa/Grant Marlott.
4/18/16 Ck#2660 $458.12 Andrea Burke reimbursement for Breakout Kits Grant.
4/27/16 Online purchase $80.14 Amazon for Whisperphones/Ragoza.
5/18/16 ck#2668 $140 RHS Student Activities for Johnson grant speaking and debate competition.
5/25/16 ck#2675 $200 Tony Costello Heritiage Night Music.
5/26/16 ck#2676 $97.76 Yvonne Mathez Heritage Night Crepery Supplies.
6/1/16 Debit Purchase $63.50 Griffith Grant for Worry Dolls. 6/8/16 Ck#2677$86.11 Jennifer Griffith Heritage Night Supplies
6/14/16 ck#2678 $62.99 Lucy Ragoza for 1 Million Minute Celebration.
6/17/16 ck#2681 $600 KRG Entertainment, LLC 4th&amp;5th Grade loca author Karen Rostoker-Gruber.
6/29/16 ck#2691 $319.88 Suzie Stevinson reimbursement for 2nd iPad purchase for reading specialists.</t>
        </r>
      </text>
    </comment>
    <comment ref="E51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DebitCard $283.31, Mr Mac, White Board. DebitCard $487.77-$37.80 (tax refund), PE Speakers. Ck#2737 $149.69, Mr Schoch, Grade 6 ELA Books. Ck#2738 $69.90, Books&amp;Buddies snacks. Café.Ck#2742 $80.04 Books&amp;Buddies menus. Ck#2749 $72.84 Book&amp;Buddies beverages. DbtCard $53.43, Echo Dot, Mancini. DbtCard $223.92, Balance Ball Chairs, Davies. Ck#2759 $305.59, Flexible Seating, Ms. McFarland.Ck#2764 $264.76 Flexible Seating, Wysocki.Dbt Card $144.18 Headseats, Tonini.Ck#2768 $122.76 Flexible Seating, Ragoza. DebitCard $244.00 Amazon, BTS Book Club. Ck#2770 $270.20 B.Alfieri, flex seating. Ck# 2780 $240.20 Aquarium, Mr Mac. Ck#2781 #40.99 Aquarium, Mr Mac.</t>
        </r>
      </text>
    </comment>
    <comment ref="G51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DbtC $100.77 Giaim Balance Chairs. Ck#1037 $263.20 P.McNamara, Aquarium supplies. Dbt $344.75 DBT $344.75 Yogimax bean bag. Ck#1040 $86.40 Books and Buddies, water. Ck#1043 $63.92 Books and Buddies cookies, Ck#1044 $16 Books and Buddies programs. Ck#1074-1081 $297.50*8=$2,380 OOTM grant. Ck#1089 $429.99 Ms Godfrey, ipad.Ck#1106 $591 B. Alfieri, book bins.</t>
        </r>
      </text>
    </comment>
    <comment ref="C52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10/27/15 ck#2584 $370 CAP reissue of payment for 2014-2015 Grant</t>
        </r>
      </text>
    </comment>
    <comment ref="E52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8/11/16 ck#2705 $356.50 Malmark Bellcraftsmen for Handbells (to be reimbursed by BOE). BOE reimbursed 11/2/16 $356.50 ck#20353 9/14/16 ck#2708 $1,240 Malmark Bellcraftsmen-Handbells</t>
        </r>
      </text>
    </comment>
    <comment ref="F52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$500 Spotlight repairs.</t>
        </r>
      </text>
    </comment>
    <comment ref="G52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Ck#1016 $485 Jon Kovara Tech (spotlight repairs).</t>
        </r>
      </text>
    </comment>
    <comment ref="H52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Ck#1106 $591.00, B. Alfieri, book bins.</t>
        </r>
      </text>
    </comment>
    <comment ref="C53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10/21/15 ck#2599 $80.54 Anna Spitaleri for coffee and pastries for teacher training.
12/11/15 ck#2619 $100 Lisa Schiller PTO Holiday party.
2/22/16 ck#2647$57 Suzie Stevinson teacher training
6/17/16 ck#2697 $100 Lisa Schiller for End of year party.</t>
        </r>
      </text>
    </comment>
    <comment ref="E53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ck#2729 $280 J.Calpin, Conference Hospitality</t>
        </r>
      </text>
    </comment>
    <comment ref="G53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Ck#1068 $300 J.Calpin, P/T Conferences.</t>
        </r>
      </text>
    </comment>
    <comment ref="C54" authorId="0" shapeId="0" xr:uid="{00000000-0006-0000-0100-00005E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11/18/15 ck#2597 $100 LGCCC for Spring Fling
</t>
        </r>
      </text>
    </comment>
    <comment ref="E54" authorId="0" shapeId="0" xr:uid="{00000000-0006-0000-0100-00005F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Ck#124 $20 LGCCC (50/50). (50/50). Ck#126 $20 LGCCC (baskets).</t>
        </r>
      </text>
    </comment>
    <comment ref="G54" authorId="0" shapeId="0" xr:uid="{00000000-0006-0000-0100-000060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Ck#1006 paid 9/12/17</t>
        </r>
      </text>
    </comment>
    <comment ref="C55" authorId="0" shapeId="0" xr:uid="{00000000-0006-0000-0100-000061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9/23/15 ck#2586 $192.87 Marisa Austenberg/printing for back to school mailing.
9/28/15 ck#2591 $50.02 Marisa Austenberg/Marketing &amp; PR for Book Fair,
10/6/15 ck#2596 $137.46 Faith Costabile for bulletin board.
11/30/15 ck#2614 $156 Kim Rich for fliers</t>
        </r>
      </text>
    </comment>
    <comment ref="E55" authorId="0" shapeId="0" xr:uid="{00000000-0006-0000-0100-000062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9/12/16, Anna Spitaleri, Ck#2707 $223.35 PTO brochures and posters. Ck#2730 $107.96, F. Costabile, Lobby Bulletin Boards. Ck#2740 $141.25, J.Coleman, Lobby Bulletin Boards. Ck#2748 $60.84 F.Costabile, Lobby Bulletin. Ck#2750 $96, F.Costabile, Lobby Bulletin. Ck#2753 $350, Essex Horse Trials Program Ad. Ck#2787 $82.87 F.Costabile, Lobby BB.</t>
        </r>
      </text>
    </comment>
    <comment ref="G55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Ck#1009 $54.43 F. Costabile, BB. Ck#1010 $30.94 J. Coleman, BB. Ck#1029 $54.22 J.Coleman, BB.Ck#1047 $83.43 F. Costabile. Ck#1067 $46.90 F. Costabile.</t>
        </r>
      </text>
    </comment>
    <comment ref="C56" authorId="0" shapeId="0" xr:uid="{00000000-0006-0000-0100-000064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12/14/15 ck#2623 $24.17 Cindy (Ramsey) Melendez for box top supplies.
2/24/16 ck#2649 $27.26 Cindy Melendez for boxtop supplies
6/27/16 ck#2699 $146 KRG Entertainment, LLC book order pass thru for author visit.
6/17/16 ck#2692 $695 Kenn Nesbitt (pass thru) for book order for his visit (GLP).
6/29/16 ck#2695 $500 Nicole Hanratty Helping Hands Donation.
</t>
        </r>
      </text>
    </comment>
    <comment ref="E56" authorId="0" shapeId="0" xr:uid="{00000000-0006-0000-0100-000065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Ck#2758 $8.50, Display My Art Postage.</t>
        </r>
      </text>
    </comment>
    <comment ref="G56" authorId="0" shapeId="0" xr:uid="{00000000-0006-0000-0100-000066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Ck#1063 $169.44 GSHNJ, flower pots.Ck#1098 $40 JVH, Field of Honor.</t>
        </r>
      </text>
    </comment>
    <comment ref="C57" authorId="0" shapeId="0" xr:uid="{00000000-0006-0000-0100-000067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1/11/16 ck#2632 $49 Laura Govan for stamps
3/3/16 Debt $16.67 Staples for printer paper
3/31/16 $183.55 PNC check printing fee for new checks and deposit slips.
6/15/16 $57.51 Staples Debt purchase for copies of Budget Info for Budget meeting to pass 2016-2017 Budget.
6/27/16 $106.99 Microsoft Office license renewal.</t>
        </r>
      </text>
    </comment>
    <comment ref="E57" authorId="0" shapeId="0" xr:uid="{00000000-0006-0000-0100-000068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ck#2734, Mimi Brown, $96.10, Ink, stamps. CVS $18.63 flash drive, envelopes, Dbt Card. Ck#2747 $29.98 C. Melendez, note cards. Debitcard $9.80 USPS stamps. DebitCard $56.80 stamps, envelopes, ink, paper. MS Office auto renewal $106.86</t>
        </r>
      </text>
    </comment>
    <comment ref="G57" authorId="0" shapeId="0" xr:uid="{00000000-0006-0000-0100-000069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DbtC $9.80 Stamps x2. Ck#1052 $200.05 B'ville Print, envelopes. DbtC $10 Stamps.Ck#1096 $36.28 S. Ruscika, Weebly.</t>
        </r>
      </text>
    </comment>
    <comment ref="C59" authorId="0" shapeId="0" xr:uid="{00000000-0006-0000-0100-00006A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10/9/15 ck#2594 $597.50 Mobile Ed Productions for STEAM Museum.
10/13/15 ck#2593 $3000.00 Joshua Gunderson, Bullying Assembly
10/29/15 ck#2595 $597.50 balance for STEM musuem.
12/21/15 ck#2617 $1100 Kits Interactie Theatre for 12/18 assembly.
1/20/16 ck#2627 $306.25 deposit to The Shakespeare Theatre of NJ for 6-8th Romeo &amp; Juliet
3/15/16 ck#2628 $918.75 The Shakespeare Theatre of NJ balance of R&amp;J.</t>
        </r>
      </text>
    </comment>
    <comment ref="E59" authorId="0" shapeId="0" xr:uid="{00000000-0006-0000-0100-00006B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 xml:space="preserve">Nat'l Constitution Ctr ck#2716 $541.80, TheaterWorks ck#2717 $500 (deposit). Ck#2724 $1,500 (balance). Ck#2739 $1,550 Eric Dasher; Brain Wash Game Show. Ck#2741 $1,150 Kit's Interactive Theatre. DebitCard $3,314.50 Phantom of the Opera tkts. </t>
        </r>
        <r>
          <rPr>
            <b/>
            <sz val="9"/>
            <color indexed="81"/>
            <rFont val="Tahoma"/>
            <family val="2"/>
          </rPr>
          <t>DEPOSIT:</t>
        </r>
        <r>
          <rPr>
            <sz val="9"/>
            <color indexed="81"/>
            <rFont val="Tahoma"/>
            <family val="2"/>
          </rPr>
          <t xml:space="preserve"> POTO Student payments $2,700. Ck#2791 $2,000 TheaterWorks, Charlotte's Web. Ck#2793 $335 M. Stanford, Nurse for B'way trip.</t>
        </r>
      </text>
    </comment>
    <comment ref="G59" authorId="0" shapeId="0" xr:uid="{00000000-0006-0000-0100-00006C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DbtCard $2,600 Think Kindness. Ck#1002 $921.50 The Earth Dome. Ck#1018 $75 Addt'l Session The Earth Dome. Ck#1019 $320 Shakespeare deposit.Ck#1035 $812.50 deposit AHT, Black History Month. Ck#1036 $450 deposit AHT, Women's Program.Ck#1042 $812.50 balance AHT, Black History Month. Ck#1051 $1,200 Kits Interactive. Ck#1055 $450 AHT. Ck#1070 $248.16 AHT Travel exp.  Ck#1088 $960 The Shakespeare Theatre (balance).</t>
        </r>
      </text>
    </comment>
    <comment ref="A60" authorId="0" shapeId="0" xr:uid="{00000000-0006-0000-0100-00006D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2018/19; Author visit budget transferred to Grade Level Programs.  Teachers will determine authors by class.</t>
        </r>
      </text>
    </comment>
    <comment ref="C60" authorId="0" shapeId="0" xr:uid="{00000000-0006-0000-0100-00006E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E60" authorId="0" shapeId="0" xr:uid="{00000000-0006-0000-0100-00006F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Ck#2752 $2,500, Writes of Passage, Wendy Mass author visit. DebitCard, US Coachways, 7th Grade Bdway trip to Phantom $406.35 (deposit) $948.14 (balance).</t>
        </r>
      </text>
    </comment>
    <comment ref="G60" authorId="0" shapeId="0" xr:uid="{00000000-0006-0000-0100-000070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Ck#1022 $1,600 G. Korman skype.Ck#1024 $825 C. Schwartz.Ck#1025 $600 D. Gutman.</t>
        </r>
      </text>
    </comment>
    <comment ref="C61" authorId="0" shapeId="0" xr:uid="{00000000-0006-0000-0100-000071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E61" authorId="0" shapeId="0" xr:uid="{00000000-0006-0000-0100-000072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ck#2706 $5900 Dave Burgess, Teach Like a Pirate (addt'l $1900 comes out of Special Projects</t>
        </r>
      </text>
    </comment>
    <comment ref="C62" authorId="0" shapeId="0" xr:uid="{00000000-0006-0000-0100-000073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ck#3604 $400 Bruce Blitz for 7th grade.
2/16/16 ck#2640 $150 Glassworks deposit 6th grade
2/25/16 ck#2651 $1,274.00 Glassworks balance of 6th grade
5/19/16 ck#2669 $475 Jenkinson's Aquarium 1st grade Penguin visit.
5/31/16 ck#2674 $1800 Kenn Nesbitt Author visit 2nd Grade. 
6/13/16 ck#2682 $476 High tech High Touch 3rd grade "Chain Gangs"
6/14/16 ck#2679 Aesthetic Press, Inc 4th grade Celebrate NJ Speaker.
6/16/16 ck#2694 $625 Unique Creatures 7th grade.
6/20/16 ck#2680 $430 Snakes-n-Scales 4th grade.
6/21/16 ck#2689 $391 Kindergarten "Get Buggy"
6/21/16 ck#2693 $245 New Jersey Audubon 5th Grade "Turtle Tunnels"
6/27/16 ck#2687 $240 USGA 7th Grade Gold Museum.</t>
        </r>
      </text>
    </comment>
    <comment ref="E62" authorId="0" shapeId="0" xr:uid="{00000000-0006-0000-0100-000074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Ck#2723 $302.29 HUE Animation, Ms. Burke. Ck#2725 $400 Artist Bruce Blitz, Ms. Hershkowitz. Ck#2727 $101.40, Sugar Skulls, Ms. Griffith. Ck#2735 $150 (deposit), Ck#2745 $1,274 (balance), Glassworks, Ms. Hershkowitz. Ck#2744 $493, CAP Program, Ms. Infante. Ck#2751 $100 SEE Turtles.Ck#2766 $40.30 Read-a-Thon, Lawson. Ck#2769 $475 Jenkinson's, Penguins. CK#2768 $335 Turtle Tunnels. Ck#2802 $42.30 water.Ck#2789 $650 Unique Creatures. Ck#2792 $103.12 Int'l Heritage Night crepes. Debit Card $32.05 x 3, Sim City. Ck#2796 $550, Gym Geography. Ck#2797 $430 Snakes-n-Scales. Ck#2798 $180 W. Choroszewski.</t>
        </r>
      </text>
    </comment>
    <comment ref="G62" authorId="0" shapeId="0" xr:uid="{00000000-0006-0000-0100-000075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Ck#1003 $150 Glassworks (deposit). Ck#1013 $400 Bruce Blitz. Ck#1027 $39.84 Book of Life dvd. Ck#1028 $320 CAP program. Ck#1048 $1,188 Glassworks.Ck#1049 $119.31 Y. Mathez, IHN French crepes. Ck#1050 $895 Vanderhoof Trans, B'way trip bus.Ck#1053 $150 SEE Turtles. Ck#1056 $19.84 Maschios, Books and Buddies, milk/water. DC $291.96 SouthWest tix for author L. Currie. $895 Refund from Vanderhoof. Ck#1069 $235.92 S. Stevinson, Uber to Phantom. Ck#1082 Replacement bus for B'way trip $525. Ck#1083 $642 High Touch High Tech. Ck#1084 $150 Lord Stirling Bug program. Ck# 1085 $500 Jenkinson's Aquarium. Ck#1091 $1,250 L. Currie. Ck#1092 $750 Unique Creatures. Ck#1093 $280 Turtle Tunnels. Ck#1094 $180 NJ Historian. Ck#1095 $430 Snakes-n-Scales.Ck#1097 $209 L. Currie (hotel).</t>
        </r>
      </text>
    </comment>
    <comment ref="F63" authorId="0" shapeId="0" xr:uid="{00000000-0006-0000-0100-000076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$450 Addt'l units of Sim City.</t>
        </r>
      </text>
    </comment>
    <comment ref="H63" authorId="0" shapeId="0" xr:uid="{00000000-0006-0000-0100-000077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 1093 $280 Turtle Tunnels.</t>
        </r>
      </text>
    </comment>
    <comment ref="C66" authorId="0" shapeId="0" xr:uid="{00000000-0006-0000-0100-000078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10/30/15 ck#2605 $100 for cashbox
11/12/15 ck#2606 $900 Bedminster Pizza
11/13/15 ck#2610 $327.99 Susan Corbett for Halloween Carnival &amp; Middle school dance supplies
1/5/15 ck#2611 $69.89 Suzie Stevinson for carnival and dance supplies. 
1/13/16 ck#2631 $52.46 Tony Costello dj at dance for supplies.</t>
        </r>
      </text>
    </comment>
    <comment ref="E66" authorId="0" shapeId="0" xr:uid="{00000000-0006-0000-0100-000079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$100 petty cash, ck#2722 $820 Desiderio's Pizza</t>
        </r>
      </text>
    </comment>
    <comment ref="G66" authorId="0" shapeId="0" xr:uid="{00000000-0006-0000-0100-00007A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Ck#1004 $55.20 N.Callichio. Ck#1011 C. Melendez. Ck#1012 $40.97 D. Fredella, prizes. Ck#1015 $525 Bedminster Pizza. Ck#1021 $75.78 D. Fredella.</t>
        </r>
      </text>
    </comment>
    <comment ref="C67" authorId="0" shapeId="0" xr:uid="{00000000-0006-0000-0100-00007B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12/3/15 ck#2613 $200 Jen Calpin </t>
        </r>
      </text>
    </comment>
    <comment ref="C69" authorId="0" shapeId="0" xr:uid="{00000000-0006-0000-0100-00007C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5/9/12 ck#2665 $106.34 Jessica Pascale supplies utensils, cups, plates, geranioms
5/10/16 ck#2666 $41.78 Lori Crowell balloons &amp; tableclothes
5/12/16 Ck#2664 $726 Café Picasso for food
5/16/16 ck#2667 $113.37 Cecelia Lardieri coffee cups, dessert plates, napkins</t>
        </r>
      </text>
    </comment>
    <comment ref="E69" authorId="0" shapeId="0" xr:uid="{00000000-0006-0000-0100-00007D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Ck#2772 $1,000. Café Picasso. Ck#2773 $35 Desiderio's. Ck# 2777 $94.11 J.Pascale</t>
        </r>
      </text>
    </comment>
    <comment ref="G69" authorId="0" shapeId="0" xr:uid="{00000000-0006-0000-0100-00007E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Ck#1072 $900 Café Azzurro. Ck#1073 $112 Desiderio's. Ck#1087 $43.18 A. Spitaleri, coffee and planters.</t>
        </r>
      </text>
    </comment>
    <comment ref="C70" authorId="0" shapeId="0" xr:uid="{00000000-0006-0000-0100-00007F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10/14/15 ck#2598 $243.19 Kimberly Rich supplies &amp; food.</t>
        </r>
      </text>
    </comment>
    <comment ref="E70" authorId="0" shapeId="0" xr:uid="{00000000-0006-0000-0100-000080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ck#2714 $225.71 Kim Rich, BTSN Hospitality</t>
        </r>
      </text>
    </comment>
    <comment ref="G70" authorId="0" shapeId="0" xr:uid="{00000000-0006-0000-0100-00008100000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Ck#1005 K.Rich</t>
        </r>
      </text>
    </comment>
    <comment ref="C71" authorId="0" shapeId="0" xr:uid="{00000000-0006-0000-0100-000082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9/14/15 ck#2587 $105.90 McCool's Ice Cream for ice cream.</t>
        </r>
      </text>
    </comment>
    <comment ref="E71" authorId="0" shapeId="0" xr:uid="{00000000-0006-0000-0100-000083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Chandra &amp; Ralph :)</t>
        </r>
      </text>
    </comment>
    <comment ref="C72" authorId="0" shapeId="0" xr:uid="{00000000-0006-0000-0100-000084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ck#2582 $368.29 Gina Fernandez
9/16/15 ck#2583 $304.09 Linda Fragassi</t>
        </r>
      </text>
    </comment>
    <comment ref="E72" authorId="0" shapeId="0" xr:uid="{00000000-0006-0000-0100-000085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Ck#2709 $111.50 D. Fredella, Ck#2710, $764.20, L.Fragassi</t>
        </r>
      </text>
    </comment>
    <comment ref="G72" authorId="0" shapeId="0" xr:uid="{00000000-0006-0000-0100-000086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Ck#1071 $1,142.85 L. Fragassi, WBTL</t>
        </r>
      </text>
    </comment>
    <comment ref="C74" authorId="0" shapeId="0" xr:uid="{00000000-0006-0000-0100-00008700000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10/20/15 ck#2603 $10,000 Bedminster Township School for 2013-2014 PTO Gift.
1/7/15 ck#2622 $2820 York Fence Co. deposit for fence for outdoor classroom project. Part of 2014-2015 PTO Gift.
1/22/16 ck#2637 $4400 York Fence, balance for outdoor classroom project.</t>
        </r>
      </text>
    </comment>
    <comment ref="E74" authorId="0" shapeId="0" xr:uid="{00000000-0006-0000-0100-000088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ck#2706 $5900 Dave Burgess, Teach Like a Pirate (addt'l $4000 from Author Reserve), ck#2721 $1054.49 Outdoor Message Bulletin Bd. Debit Card $117.34 PTO Banner. Debit Card $79.99, Letters Outdoor BB. Debit Card $156.20, 2 Pop-Up Tents. Debit Card $36.81 School Outfitters, Addt'l Letter for Outdoor BB.Ck#2760 $530 Lego Club (3&amp;4). Ck#2771 $300 Bedminster PBA Kickball Fundraiser. Ck#2795 $40, Friends of Jacobus Vanderveer, Flags of Honor. Ck#2803 $530 Burke, Lego Club(1&amp;2). Ck#2805 $1,298.50 Biletski, Robotics Club. Ck#2806 $609.50 Hazen, Robotics Club. Ck#2804 $1,298.50 Puglia, Robotics Club.</t>
        </r>
      </text>
    </comment>
    <comment ref="F74" authorId="0" shapeId="0" xr:uid="{00000000-0006-0000-0100-000089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Gaga pit $1,627.96 and $3,742.10. LLI $3,357.20. $350.14 surplus.</t>
        </r>
      </text>
    </comment>
    <comment ref="G74" authorId="0" shapeId="0" xr:uid="{00000000-0006-0000-0100-00008A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Ck#2813 $1,627.96 Gaga Pit. Ck#2814 $3,357.20 LLI. Ck#2819 $3,652.10 Gaga Pit. Ck#1043 $27.79 Pizza for Gaga installers.</t>
        </r>
      </text>
    </comment>
    <comment ref="E75" authorId="0" shapeId="0" xr:uid="{00000000-0006-0000-0100-00008B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Ck#2794 $500 Harbor Speakers, Dr. Michael Bradley, 'Crazy Stressed'. Ck#2808 $600, 'Include Me'.</t>
        </r>
      </text>
    </comment>
    <comment ref="G75" authorId="0" shapeId="0" xr:uid="{00000000-0006-0000-0100-00008C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Ck#1034 $1,200 Pathways for Exceptional Children, 'Include Me'. DBT $650 Screenagers.Ck#1044 $24 Screenagers flyer.</t>
        </r>
      </text>
    </comment>
    <comment ref="G76" authorId="0" shapeId="0" xr:uid="{00000000-0006-0000-0100-00008D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Ck#1011 C. Melendez, Rolling Rack for FF. Ck#1017 $38 SpiritWear Today sale. Ck#1058 $193 Spiritwear Today.</t>
        </r>
      </text>
    </comment>
    <comment ref="E77" authorId="0" shapeId="0" xr:uid="{00000000-0006-0000-0100-00008E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Ck#2801 $254.92 Ragoza.</t>
        </r>
      </text>
    </comment>
    <comment ref="G77" authorId="0" shapeId="0" xr:uid="{00000000-0006-0000-0100-00008F00000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Ck#1099 $187.29</t>
        </r>
      </text>
    </comment>
  </commentList>
</comments>
</file>

<file path=xl/sharedStrings.xml><?xml version="1.0" encoding="utf-8"?>
<sst xmlns="http://schemas.openxmlformats.org/spreadsheetml/2006/main" count="246" uniqueCount="120">
  <si>
    <t>PTO Events</t>
  </si>
  <si>
    <t>BHS Project Graduation</t>
  </si>
  <si>
    <t xml:space="preserve">    TOTAL Programs</t>
  </si>
  <si>
    <t>Membership</t>
  </si>
  <si>
    <t xml:space="preserve">      Fall fest</t>
  </si>
  <si>
    <t>Office Supplies</t>
  </si>
  <si>
    <t>INFLOWS</t>
  </si>
  <si>
    <t xml:space="preserve">       Newcomers' Ice Cream Social</t>
  </si>
  <si>
    <t xml:space="preserve">      Spring Fling</t>
  </si>
  <si>
    <t xml:space="preserve">    Total PTO Events</t>
  </si>
  <si>
    <t>Hospitality</t>
  </si>
  <si>
    <t>Charities Registration</t>
  </si>
  <si>
    <t>Actual</t>
  </si>
  <si>
    <t>YTD</t>
  </si>
  <si>
    <t>Grants</t>
  </si>
  <si>
    <t>Department expenses</t>
  </si>
  <si>
    <t>Tutor mentor</t>
  </si>
  <si>
    <t xml:space="preserve">    TOTAL Fundraisers</t>
  </si>
  <si>
    <t>Bank Charge</t>
  </si>
  <si>
    <t xml:space="preserve">       Back to school lunch</t>
  </si>
  <si>
    <t>PTO Fundraisers</t>
  </si>
  <si>
    <t xml:space="preserve">        Fall Fest</t>
  </si>
  <si>
    <t>Donation</t>
  </si>
  <si>
    <t>Marketing PR</t>
  </si>
  <si>
    <t xml:space="preserve">      Halloween Spooktacular</t>
  </si>
  <si>
    <t>OUTFLOWS</t>
  </si>
  <si>
    <t>Graduation Awards</t>
  </si>
  <si>
    <t xml:space="preserve">        Book Fair</t>
  </si>
  <si>
    <t>Programs</t>
  </si>
  <si>
    <t xml:space="preserve">       Back to School Night</t>
  </si>
  <si>
    <t>Grant Reserve from last fiscal year</t>
  </si>
  <si>
    <t xml:space="preserve">   TOTAL Fundraiser</t>
  </si>
  <si>
    <t xml:space="preserve">       Author visits</t>
  </si>
  <si>
    <t>Field Day</t>
  </si>
  <si>
    <t xml:space="preserve">      Book Fair</t>
  </si>
  <si>
    <t xml:space="preserve">       School programs/assemblies</t>
  </si>
  <si>
    <t>Budget</t>
  </si>
  <si>
    <t>Proposed</t>
  </si>
  <si>
    <t>Graduation</t>
  </si>
  <si>
    <t xml:space="preserve">        Spring Fling</t>
  </si>
  <si>
    <t xml:space="preserve">        Individual Class Programs</t>
  </si>
  <si>
    <t xml:space="preserve">    Fundraisers</t>
  </si>
  <si>
    <t>TOTAL INFLOWS</t>
  </si>
  <si>
    <t>Drama club / Spring Musical</t>
  </si>
  <si>
    <t>Bedminster Charity Golf</t>
  </si>
  <si>
    <t>Bank balance</t>
  </si>
  <si>
    <t>TOTAL OUTFLOWS</t>
  </si>
  <si>
    <t>Actual Beginning Cash</t>
  </si>
  <si>
    <t xml:space="preserve">Legalized Games of Chance </t>
  </si>
  <si>
    <t>Spirit Wear</t>
  </si>
  <si>
    <t>2012-2013</t>
  </si>
  <si>
    <t>2013-2014</t>
  </si>
  <si>
    <t>Schoolkidz</t>
  </si>
  <si>
    <t>SchoolKidz</t>
  </si>
  <si>
    <t xml:space="preserve">Misc. </t>
  </si>
  <si>
    <t xml:space="preserve">       Custodian/Nurses Appreciation Day</t>
  </si>
  <si>
    <t xml:space="preserve">Spirit Wear </t>
  </si>
  <si>
    <t xml:space="preserve">Special Projects </t>
  </si>
  <si>
    <t xml:space="preserve">       Kindergarten Orientation</t>
  </si>
  <si>
    <t xml:space="preserve">       Kindergarten Registration</t>
  </si>
  <si>
    <t>Misc.</t>
  </si>
  <si>
    <t xml:space="preserve">Gifts </t>
  </si>
  <si>
    <t>APPROVED: 6/11/13</t>
  </si>
  <si>
    <t xml:space="preserve">Bus Reserve </t>
  </si>
  <si>
    <t>Bus</t>
  </si>
  <si>
    <t>Staff Appreciation Day</t>
  </si>
  <si>
    <t xml:space="preserve">       Halloween Spooktacular</t>
  </si>
  <si>
    <t>2014-2015</t>
  </si>
  <si>
    <t>50/50 Bank balance</t>
  </si>
  <si>
    <t xml:space="preserve">   Conference Hospitality</t>
  </si>
  <si>
    <t>2015-2016</t>
  </si>
  <si>
    <t xml:space="preserve">      Halloween Events</t>
  </si>
  <si>
    <t xml:space="preserve">      Off Campus Events</t>
  </si>
  <si>
    <t xml:space="preserve">      Game Night</t>
  </si>
  <si>
    <t xml:space="preserve">        Game Night</t>
  </si>
  <si>
    <t xml:space="preserve">        Off Campus Events</t>
  </si>
  <si>
    <t xml:space="preserve">       Author Visits Reserve</t>
  </si>
  <si>
    <t xml:space="preserve">       Halloween Events</t>
  </si>
  <si>
    <t>Open checks from prior fiscal year</t>
  </si>
  <si>
    <t xml:space="preserve">  Grade Level Programs</t>
  </si>
  <si>
    <t xml:space="preserve">   Grade Level Programs Reserve</t>
  </si>
  <si>
    <t>Bedminster Township PTO Proposed Budget 2015-2016 School Year</t>
  </si>
  <si>
    <t>6/9/15 ck#2561 $992.50 High Touch High Tech for 5th (Chem Lab) &amp; 6th (Gem Dig) grade. programs.</t>
  </si>
  <si>
    <t>6/15/15 ck#2571$245 USGA for 7th grade trip,</t>
  </si>
  <si>
    <t>6/11/15 ck#2570 $575 Unique Creatures assembley,</t>
  </si>
  <si>
    <t xml:space="preserve"> </t>
  </si>
  <si>
    <t>Budget Plan</t>
  </si>
  <si>
    <t>2016 - 2017</t>
  </si>
  <si>
    <t xml:space="preserve">        Bedminster Charities Fall Fest</t>
  </si>
  <si>
    <t xml:space="preserve">     Bedminster Charities Fall fest</t>
  </si>
  <si>
    <t xml:space="preserve">       Welcome Back Teacher Luncheon</t>
  </si>
  <si>
    <t>P.E. Day</t>
  </si>
  <si>
    <t>Environmental &amp; Garden Club</t>
  </si>
  <si>
    <t>2016-2017</t>
  </si>
  <si>
    <t>Reconciled to check book:</t>
  </si>
  <si>
    <t>Social/ Emotional Learning</t>
  </si>
  <si>
    <t>2017 - 2018</t>
  </si>
  <si>
    <t xml:space="preserve">     Display My Art</t>
  </si>
  <si>
    <t>Halloween Spooktacular</t>
  </si>
  <si>
    <t>Family Night</t>
  </si>
  <si>
    <t>Off Campus Events</t>
  </si>
  <si>
    <t xml:space="preserve">    TOTAL FUNDRAISERS</t>
  </si>
  <si>
    <t xml:space="preserve">     FUNDRAISERS</t>
  </si>
  <si>
    <t xml:space="preserve">     Book Fair</t>
  </si>
  <si>
    <t xml:space="preserve">     Spring Fundraiser</t>
  </si>
  <si>
    <t xml:space="preserve">     Box Tops</t>
  </si>
  <si>
    <t xml:space="preserve">        Box Tops</t>
  </si>
  <si>
    <t xml:space="preserve">        Spring Fundraiser</t>
  </si>
  <si>
    <t xml:space="preserve">        Family Night</t>
  </si>
  <si>
    <t xml:space="preserve">   Grade Level Programs</t>
  </si>
  <si>
    <t xml:space="preserve">        Spring Fundraiser Reserve</t>
  </si>
  <si>
    <t>Class Grants</t>
  </si>
  <si>
    <t>Class Grants - Reserve</t>
  </si>
  <si>
    <t>Check:</t>
  </si>
  <si>
    <t>2018 - 2019</t>
  </si>
  <si>
    <t>2017-2018</t>
  </si>
  <si>
    <t>2018-2019</t>
  </si>
  <si>
    <t xml:space="preserve">       Author Visits</t>
  </si>
  <si>
    <t>APPROVED: 6/12/18</t>
  </si>
  <si>
    <r>
      <t xml:space="preserve">Bedminster Township PTO </t>
    </r>
    <r>
      <rPr>
        <b/>
        <sz val="10"/>
        <rFont val="Arial"/>
        <family val="2"/>
      </rPr>
      <t xml:space="preserve"> Budget 2018-2019 School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</si>
</sst>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&quot;$&quot;\(#,##0.00\)"/>
  </numFmts>
  <fonts count="35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13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3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3"/>
      <name val="Arial"/>
      <family val="2"/>
    </font>
    <font>
      <sz val="9"/>
      <color indexed="13"/>
      <name val="Arial"/>
      <family val="2"/>
    </font>
    <font>
      <b/>
      <i/>
      <sz val="9"/>
      <color indexed="8"/>
      <name val="Arial"/>
      <family val="2"/>
    </font>
    <font>
      <b/>
      <i/>
      <sz val="9"/>
      <color indexed="1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i/>
      <sz val="10"/>
      <color rgb="FF0000FF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10"/>
      <color indexed="13"/>
      <name val="Arial"/>
      <family val="2"/>
    </font>
    <font>
      <b/>
      <i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164" fontId="11" fillId="0" borderId="1" xfId="0" applyNumberFormat="1" applyFont="1" applyFill="1" applyBorder="1" applyAlignment="1"/>
    <xf numFmtId="0" fontId="12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14" fillId="0" borderId="1" xfId="0" applyNumberFormat="1" applyFont="1" applyFill="1" applyBorder="1" applyAlignment="1"/>
    <xf numFmtId="0" fontId="15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/>
    <xf numFmtId="164" fontId="17" fillId="0" borderId="1" xfId="0" applyNumberFormat="1" applyFont="1" applyFill="1" applyBorder="1" applyAlignment="1"/>
    <xf numFmtId="0" fontId="0" fillId="0" borderId="0" xfId="0" applyFont="1">
      <alignment vertical="center"/>
    </xf>
    <xf numFmtId="164" fontId="22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left" indent="1"/>
    </xf>
    <xf numFmtId="0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14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/>
    <xf numFmtId="164" fontId="16" fillId="2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left" indent="2"/>
    </xf>
    <xf numFmtId="0" fontId="7" fillId="2" borderId="1" xfId="0" applyNumberFormat="1" applyFont="1" applyFill="1" applyBorder="1" applyAlignment="1">
      <alignment horizontal="left" indent="1"/>
    </xf>
    <xf numFmtId="164" fontId="26" fillId="0" borderId="1" xfId="0" applyNumberFormat="1" applyFont="1" applyFill="1" applyBorder="1" applyAlignment="1"/>
    <xf numFmtId="0" fontId="27" fillId="0" borderId="1" xfId="0" applyNumberFormat="1" applyFont="1" applyFill="1" applyBorder="1" applyAlignment="1">
      <alignment horizontal="center"/>
    </xf>
    <xf numFmtId="0" fontId="28" fillId="0" borderId="1" xfId="0" applyNumberFormat="1" applyFont="1" applyFill="1" applyBorder="1" applyAlignment="1"/>
    <xf numFmtId="164" fontId="28" fillId="0" borderId="1" xfId="0" applyNumberFormat="1" applyFont="1" applyFill="1" applyBorder="1" applyAlignment="1"/>
    <xf numFmtId="164" fontId="29" fillId="0" borderId="1" xfId="0" applyNumberFormat="1" applyFont="1" applyFill="1" applyBorder="1" applyAlignment="1"/>
    <xf numFmtId="164" fontId="28" fillId="2" borderId="1" xfId="0" applyNumberFormat="1" applyFont="1" applyFill="1" applyBorder="1" applyAlignment="1"/>
    <xf numFmtId="164" fontId="29" fillId="2" borderId="1" xfId="0" applyNumberFormat="1" applyFont="1" applyFill="1" applyBorder="1" applyAlignment="1"/>
    <xf numFmtId="0" fontId="30" fillId="0" borderId="1" xfId="0" applyNumberFormat="1" applyFont="1" applyFill="1" applyBorder="1" applyAlignment="1">
      <alignment horizontal="center"/>
    </xf>
    <xf numFmtId="164" fontId="31" fillId="0" borderId="1" xfId="0" applyNumberFormat="1" applyFont="1" applyFill="1" applyBorder="1" applyAlignment="1"/>
    <xf numFmtId="164" fontId="31" fillId="2" borderId="1" xfId="0" applyNumberFormat="1" applyFont="1" applyFill="1" applyBorder="1" applyAlignment="1"/>
    <xf numFmtId="164" fontId="32" fillId="0" borderId="1" xfId="0" applyNumberFormat="1" applyFont="1" applyFill="1" applyBorder="1" applyAlignment="1"/>
    <xf numFmtId="0" fontId="28" fillId="0" borderId="0" xfId="0" applyFont="1">
      <alignment vertical="center"/>
    </xf>
    <xf numFmtId="0" fontId="0" fillId="0" borderId="0" xfId="0" applyFont="1" applyBorder="1">
      <alignment vertical="center"/>
    </xf>
    <xf numFmtId="0" fontId="14" fillId="0" borderId="0" xfId="0" applyFont="1">
      <alignment vertical="center"/>
    </xf>
    <xf numFmtId="0" fontId="33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 indent="1"/>
    </xf>
    <xf numFmtId="0" fontId="1" fillId="2" borderId="1" xfId="0" applyNumberFormat="1" applyFont="1" applyFill="1" applyBorder="1" applyAlignment="1">
      <alignment horizontal="left" indent="1"/>
    </xf>
    <xf numFmtId="0" fontId="1" fillId="0" borderId="1" xfId="0" applyNumberFormat="1" applyFont="1" applyFill="1" applyBorder="1" applyAlignment="1">
      <alignment horizontal="left" indent="2"/>
    </xf>
    <xf numFmtId="0" fontId="34" fillId="0" borderId="1" xfId="0" applyNumberFormat="1" applyFont="1" applyFill="1" applyBorder="1" applyAlignment="1"/>
    <xf numFmtId="14" fontId="14" fillId="0" borderId="0" xfId="0" applyNumberFormat="1" applyFont="1">
      <alignment vertical="center"/>
    </xf>
    <xf numFmtId="0" fontId="29" fillId="0" borderId="0" xfId="0" applyFont="1">
      <alignment vertical="center"/>
    </xf>
    <xf numFmtId="164" fontId="14" fillId="0" borderId="0" xfId="0" applyNumberFormat="1" applyFont="1" applyFill="1" applyBorder="1" applyAlignment="1"/>
    <xf numFmtId="0" fontId="28" fillId="0" borderId="0" xfId="0" applyFont="1" applyBorder="1">
      <alignment vertical="center"/>
    </xf>
    <xf numFmtId="7" fontId="14" fillId="0" borderId="0" xfId="0" applyNumberFormat="1" applyFont="1">
      <alignment vertical="center"/>
    </xf>
    <xf numFmtId="7" fontId="14" fillId="0" borderId="2" xfId="0" applyNumberFormat="1" applyFont="1" applyBorder="1">
      <alignment vertical="center"/>
    </xf>
    <xf numFmtId="7" fontId="0" fillId="0" borderId="3" xfId="0" applyNumberFormat="1" applyFont="1" applyBorder="1">
      <alignment vertical="center"/>
    </xf>
    <xf numFmtId="7" fontId="0" fillId="0" borderId="0" xfId="0" applyNumberFormat="1" applyFont="1">
      <alignment vertical="center"/>
    </xf>
    <xf numFmtId="0" fontId="13" fillId="0" borderId="0" xfId="0" applyFont="1">
      <alignment vertical="center"/>
    </xf>
    <xf numFmtId="0" fontId="27" fillId="0" borderId="2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/>
    <xf numFmtId="0" fontId="20" fillId="0" borderId="0" xfId="0" applyNumberFormat="1" applyFont="1" applyFill="1" applyAlignment="1">
      <alignment horizontal="center" wrapText="1"/>
    </xf>
    <xf numFmtId="0" fontId="23" fillId="0" borderId="2" xfId="0" applyNumberFormat="1" applyFont="1" applyFill="1" applyBorder="1" applyAlignment="1">
      <alignment wrapText="1"/>
    </xf>
    <xf numFmtId="0" fontId="1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8000"/>
      <rgbColor rgb="00000080"/>
      <rgbColor rgb="00FFFFFF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54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39150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590550</xdr:colOff>
      <xdr:row>54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86775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590550</xdr:colOff>
      <xdr:row>54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16280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zoomScale="115" zoomScaleNormal="115" workbookViewId="0">
      <selection activeCell="A22" sqref="A22"/>
    </sheetView>
  </sheetViews>
  <sheetFormatPr defaultColWidth="9.109375" defaultRowHeight="12.75" customHeight="1" x14ac:dyDescent="0.25"/>
  <cols>
    <col min="1" max="1" width="29.6640625" customWidth="1"/>
    <col min="2" max="2" width="12.88671875" customWidth="1"/>
    <col min="3" max="3" width="11.88671875" customWidth="1"/>
    <col min="4" max="4" width="12.88671875" style="26" customWidth="1"/>
    <col min="5" max="5" width="11.88671875" customWidth="1"/>
    <col min="6" max="9" width="12.88671875" style="26" customWidth="1"/>
  </cols>
  <sheetData>
    <row r="1" spans="1:9" ht="18" customHeight="1" x14ac:dyDescent="0.3">
      <c r="A1" s="70" t="s">
        <v>81</v>
      </c>
      <c r="B1" s="70"/>
      <c r="C1" s="70"/>
      <c r="D1" s="70"/>
      <c r="E1" s="70"/>
      <c r="G1"/>
      <c r="H1"/>
    </row>
    <row r="2" spans="1:9" ht="13.2" x14ac:dyDescent="0.2">
      <c r="A2" s="71" t="s">
        <v>62</v>
      </c>
      <c r="B2" s="71"/>
      <c r="C2" s="71"/>
      <c r="D2" s="71"/>
      <c r="E2" s="71"/>
      <c r="G2"/>
      <c r="H2"/>
    </row>
    <row r="3" spans="1:9" ht="13.2" x14ac:dyDescent="0.25">
      <c r="A3" s="1"/>
      <c r="B3" s="19" t="s">
        <v>37</v>
      </c>
      <c r="C3" s="2" t="s">
        <v>12</v>
      </c>
      <c r="D3" s="19" t="s">
        <v>37</v>
      </c>
      <c r="E3" s="2" t="s">
        <v>12</v>
      </c>
      <c r="F3" s="19" t="s">
        <v>37</v>
      </c>
      <c r="G3" s="19" t="s">
        <v>12</v>
      </c>
      <c r="H3" s="41" t="s">
        <v>37</v>
      </c>
      <c r="I3" s="19" t="s">
        <v>12</v>
      </c>
    </row>
    <row r="4" spans="1:9" ht="13.2" x14ac:dyDescent="0.25">
      <c r="A4" s="1"/>
      <c r="B4" s="19" t="s">
        <v>36</v>
      </c>
      <c r="C4" s="2" t="s">
        <v>13</v>
      </c>
      <c r="D4" s="19" t="s">
        <v>36</v>
      </c>
      <c r="E4" s="2" t="s">
        <v>13</v>
      </c>
      <c r="F4" s="19" t="s">
        <v>36</v>
      </c>
      <c r="G4" s="19" t="s">
        <v>36</v>
      </c>
      <c r="H4" s="41" t="s">
        <v>86</v>
      </c>
      <c r="I4" s="19" t="s">
        <v>36</v>
      </c>
    </row>
    <row r="5" spans="1:9" ht="13.2" x14ac:dyDescent="0.25">
      <c r="A5" s="1"/>
      <c r="B5" s="19" t="s">
        <v>50</v>
      </c>
      <c r="C5" s="2" t="s">
        <v>50</v>
      </c>
      <c r="D5" s="19" t="s">
        <v>51</v>
      </c>
      <c r="E5" s="2" t="s">
        <v>51</v>
      </c>
      <c r="F5" s="19" t="s">
        <v>67</v>
      </c>
      <c r="G5" s="19" t="s">
        <v>67</v>
      </c>
      <c r="H5" s="41" t="s">
        <v>70</v>
      </c>
      <c r="I5" s="19" t="s">
        <v>70</v>
      </c>
    </row>
    <row r="6" spans="1:9" ht="13.2" x14ac:dyDescent="0.25">
      <c r="A6" s="3" t="s">
        <v>6</v>
      </c>
      <c r="B6" s="20"/>
      <c r="C6" s="1"/>
      <c r="D6" s="20"/>
      <c r="E6" s="1"/>
      <c r="F6" s="20"/>
      <c r="G6" s="20"/>
      <c r="H6" s="42"/>
      <c r="I6" s="20"/>
    </row>
    <row r="7" spans="1:9" ht="13.2" x14ac:dyDescent="0.25">
      <c r="A7" s="1" t="s">
        <v>45</v>
      </c>
      <c r="B7" s="21">
        <v>54986.61</v>
      </c>
      <c r="C7" s="4">
        <v>39673.760000000002</v>
      </c>
      <c r="D7" s="21">
        <v>58737.57</v>
      </c>
      <c r="E7" s="4">
        <v>41613.75</v>
      </c>
      <c r="F7" s="21">
        <v>57005.39</v>
      </c>
      <c r="G7" s="21">
        <v>54514.99</v>
      </c>
      <c r="H7" s="43">
        <v>54481.99</v>
      </c>
      <c r="I7" s="21">
        <v>52930.6</v>
      </c>
    </row>
    <row r="8" spans="1:9" ht="13.2" x14ac:dyDescent="0.25">
      <c r="A8" s="1" t="s">
        <v>68</v>
      </c>
      <c r="B8" s="21"/>
      <c r="C8" s="4"/>
      <c r="D8" s="21"/>
      <c r="E8" s="4">
        <v>100</v>
      </c>
      <c r="F8" s="21">
        <v>100</v>
      </c>
      <c r="G8" s="21">
        <v>101</v>
      </c>
      <c r="H8" s="43">
        <v>101</v>
      </c>
      <c r="I8" s="21">
        <v>100</v>
      </c>
    </row>
    <row r="9" spans="1:9" ht="13.2" x14ac:dyDescent="0.25">
      <c r="A9" s="1" t="s">
        <v>78</v>
      </c>
      <c r="B9" s="21">
        <v>-7419.29</v>
      </c>
      <c r="C9" s="4">
        <v>0</v>
      </c>
      <c r="D9" s="21">
        <v>-10120.16</v>
      </c>
      <c r="E9" s="4">
        <v>0</v>
      </c>
      <c r="F9" s="21">
        <v>-1910.38</v>
      </c>
      <c r="G9" s="21"/>
      <c r="H9" s="43">
        <v>-1570</v>
      </c>
      <c r="I9" s="21"/>
    </row>
    <row r="10" spans="1:9" ht="13.2" x14ac:dyDescent="0.25">
      <c r="A10" s="6" t="s">
        <v>47</v>
      </c>
      <c r="B10" s="22">
        <f>SUM(B7:B9)</f>
        <v>47567.32</v>
      </c>
      <c r="C10" s="7">
        <f>SUM(C7:C9)</f>
        <v>39673.760000000002</v>
      </c>
      <c r="D10" s="22">
        <f>SUM(D7:D9)</f>
        <v>48617.41</v>
      </c>
      <c r="E10" s="7">
        <f>SUM(E7:E9)</f>
        <v>41713.75</v>
      </c>
      <c r="F10" s="22">
        <f>SUM(F7:F9)</f>
        <v>55195.01</v>
      </c>
      <c r="G10" s="22">
        <v>55312.43</v>
      </c>
      <c r="H10" s="44">
        <f>SUM(H7:H9)</f>
        <v>53012.99</v>
      </c>
      <c r="I10" s="22">
        <f>SUM(I7:I9)</f>
        <v>53030.6</v>
      </c>
    </row>
    <row r="11" spans="1:9" ht="13.2" x14ac:dyDescent="0.25">
      <c r="A11" s="1" t="s">
        <v>44</v>
      </c>
      <c r="B11" s="21">
        <v>2000</v>
      </c>
      <c r="C11" s="4">
        <v>5000</v>
      </c>
      <c r="D11" s="21">
        <v>2000</v>
      </c>
      <c r="E11" s="4">
        <v>0</v>
      </c>
      <c r="F11" s="21">
        <v>0</v>
      </c>
      <c r="G11" s="21"/>
      <c r="H11" s="43">
        <v>0</v>
      </c>
      <c r="I11" s="21"/>
    </row>
    <row r="12" spans="1:9" ht="13.2" x14ac:dyDescent="0.25">
      <c r="A12" s="1" t="s">
        <v>54</v>
      </c>
      <c r="B12" s="21">
        <v>0</v>
      </c>
      <c r="C12" s="4">
        <v>0</v>
      </c>
      <c r="D12" s="21">
        <v>0</v>
      </c>
      <c r="E12" s="4">
        <v>1420</v>
      </c>
      <c r="F12" s="21">
        <v>0</v>
      </c>
      <c r="G12" s="21">
        <v>4579</v>
      </c>
      <c r="H12" s="43">
        <v>0</v>
      </c>
      <c r="I12" s="21"/>
    </row>
    <row r="13" spans="1:9" ht="13.2" x14ac:dyDescent="0.25">
      <c r="A13" s="1" t="s">
        <v>22</v>
      </c>
      <c r="B13" s="21">
        <v>0</v>
      </c>
      <c r="C13" s="4">
        <v>477.5</v>
      </c>
      <c r="D13" s="21">
        <v>0</v>
      </c>
      <c r="E13" s="4">
        <v>150</v>
      </c>
      <c r="F13" s="21">
        <v>0</v>
      </c>
      <c r="G13" s="21">
        <v>500</v>
      </c>
      <c r="H13" s="43">
        <v>0</v>
      </c>
      <c r="I13" s="21">
        <v>146</v>
      </c>
    </row>
    <row r="14" spans="1:9" ht="13.2" x14ac:dyDescent="0.25">
      <c r="A14" s="8" t="s">
        <v>41</v>
      </c>
      <c r="B14" s="21"/>
      <c r="C14" s="4"/>
      <c r="D14" s="21">
        <v>0</v>
      </c>
      <c r="E14" s="4"/>
      <c r="F14" s="21"/>
      <c r="G14" s="21"/>
      <c r="H14" s="43"/>
      <c r="I14" s="21"/>
    </row>
    <row r="15" spans="1:9" ht="13.2" x14ac:dyDescent="0.25">
      <c r="A15" s="1" t="s">
        <v>4</v>
      </c>
      <c r="B15" s="21">
        <v>0</v>
      </c>
      <c r="C15" s="4">
        <v>241</v>
      </c>
      <c r="D15" s="21">
        <v>0</v>
      </c>
      <c r="E15" s="4">
        <v>5200</v>
      </c>
      <c r="F15" s="21">
        <v>0</v>
      </c>
      <c r="G15" s="21">
        <v>5200</v>
      </c>
      <c r="H15" s="43">
        <v>0</v>
      </c>
      <c r="I15" s="21"/>
    </row>
    <row r="16" spans="1:9" ht="13.2" x14ac:dyDescent="0.25">
      <c r="A16" s="1" t="s">
        <v>34</v>
      </c>
      <c r="B16" s="21">
        <v>8000</v>
      </c>
      <c r="C16" s="4">
        <v>9360.02</v>
      </c>
      <c r="D16" s="21">
        <v>8000</v>
      </c>
      <c r="E16" s="4">
        <v>7663.35</v>
      </c>
      <c r="F16" s="21">
        <v>8000</v>
      </c>
      <c r="G16" s="21">
        <v>8583.73</v>
      </c>
      <c r="H16" s="43">
        <v>8000</v>
      </c>
      <c r="I16" s="21">
        <v>5300</v>
      </c>
    </row>
    <row r="17" spans="1:9" ht="13.2" x14ac:dyDescent="0.25">
      <c r="A17" s="29" t="s">
        <v>8</v>
      </c>
      <c r="B17" s="31">
        <v>45000</v>
      </c>
      <c r="C17" s="30">
        <v>53957.1</v>
      </c>
      <c r="D17" s="31">
        <v>50000</v>
      </c>
      <c r="E17" s="30">
        <v>50431.32</v>
      </c>
      <c r="F17" s="31">
        <v>50000</v>
      </c>
      <c r="G17" s="31">
        <v>53454.81</v>
      </c>
      <c r="H17" s="45">
        <v>45000</v>
      </c>
      <c r="I17" s="21">
        <v>8245.19</v>
      </c>
    </row>
    <row r="18" spans="1:9" ht="13.2" x14ac:dyDescent="0.25">
      <c r="A18" s="29" t="s">
        <v>71</v>
      </c>
      <c r="B18" s="31"/>
      <c r="C18" s="30"/>
      <c r="D18" s="31"/>
      <c r="E18" s="30"/>
      <c r="F18" s="31"/>
      <c r="G18" s="31"/>
      <c r="H18" s="45">
        <v>0</v>
      </c>
      <c r="I18" s="31">
        <v>53248.78</v>
      </c>
    </row>
    <row r="19" spans="1:9" ht="13.2" x14ac:dyDescent="0.25">
      <c r="A19" s="29" t="s">
        <v>73</v>
      </c>
      <c r="B19" s="31"/>
      <c r="C19" s="30"/>
      <c r="D19" s="31"/>
      <c r="E19" s="30"/>
      <c r="F19" s="31"/>
      <c r="G19" s="31"/>
      <c r="H19" s="45">
        <v>400</v>
      </c>
      <c r="I19" s="31">
        <v>835</v>
      </c>
    </row>
    <row r="20" spans="1:9" ht="13.2" x14ac:dyDescent="0.25">
      <c r="A20" s="29" t="s">
        <v>72</v>
      </c>
      <c r="B20" s="31"/>
      <c r="C20" s="30"/>
      <c r="D20" s="31"/>
      <c r="E20" s="30"/>
      <c r="F20" s="31"/>
      <c r="G20" s="31"/>
      <c r="H20" s="45">
        <v>1300</v>
      </c>
      <c r="I20" s="31">
        <v>745</v>
      </c>
    </row>
    <row r="21" spans="1:9" ht="13.2" x14ac:dyDescent="0.25">
      <c r="A21" s="32" t="s">
        <v>17</v>
      </c>
      <c r="B21" s="33">
        <f>SUM(B15:B17)</f>
        <v>53000</v>
      </c>
      <c r="C21" s="33">
        <f>SUM(C15:C17)</f>
        <v>63558.119999999995</v>
      </c>
      <c r="D21" s="34">
        <f>SUM(D15:D17)</f>
        <v>58000</v>
      </c>
      <c r="E21" s="33">
        <f>SUM(E15:E17)</f>
        <v>63294.67</v>
      </c>
      <c r="F21" s="34">
        <f>SUM(F15:F17)</f>
        <v>58000</v>
      </c>
      <c r="G21" s="34">
        <v>65033.15</v>
      </c>
      <c r="H21" s="46">
        <f>SUM(H15:H20)</f>
        <v>54700</v>
      </c>
      <c r="I21" s="31">
        <v>1404</v>
      </c>
    </row>
    <row r="22" spans="1:9" ht="13.2" x14ac:dyDescent="0.25">
      <c r="A22" s="29" t="s">
        <v>52</v>
      </c>
      <c r="B22" s="31"/>
      <c r="C22" s="30"/>
      <c r="D22" s="31">
        <v>1000</v>
      </c>
      <c r="E22" s="30">
        <v>48.06</v>
      </c>
      <c r="F22" s="31">
        <v>0</v>
      </c>
      <c r="G22" s="31"/>
      <c r="H22" s="45">
        <v>0</v>
      </c>
      <c r="I22" s="34">
        <f>SUM(I16:I21)</f>
        <v>69777.97</v>
      </c>
    </row>
    <row r="23" spans="1:9" ht="13.2" x14ac:dyDescent="0.25">
      <c r="A23" s="1" t="s">
        <v>3</v>
      </c>
      <c r="B23" s="21">
        <v>1500</v>
      </c>
      <c r="C23" s="4">
        <v>2333</v>
      </c>
      <c r="D23" s="21">
        <v>1500</v>
      </c>
      <c r="E23" s="4">
        <v>1985</v>
      </c>
      <c r="F23" s="21">
        <v>1500</v>
      </c>
      <c r="G23" s="21">
        <v>2430</v>
      </c>
      <c r="H23" s="43">
        <v>1500</v>
      </c>
      <c r="I23" s="31"/>
    </row>
    <row r="24" spans="1:9" ht="13.2" x14ac:dyDescent="0.25">
      <c r="A24" s="29" t="s">
        <v>49</v>
      </c>
      <c r="B24" s="31">
        <v>500</v>
      </c>
      <c r="C24" s="30">
        <v>2547.73</v>
      </c>
      <c r="D24" s="31">
        <v>500</v>
      </c>
      <c r="E24" s="30">
        <v>1138</v>
      </c>
      <c r="F24" s="31">
        <v>500</v>
      </c>
      <c r="G24" s="31">
        <v>1406</v>
      </c>
      <c r="H24" s="45">
        <v>500</v>
      </c>
      <c r="I24" s="21">
        <v>1876</v>
      </c>
    </row>
    <row r="25" spans="1:9" ht="13.2" x14ac:dyDescent="0.25">
      <c r="A25" s="8"/>
      <c r="B25" s="5"/>
      <c r="C25" s="4"/>
      <c r="D25" s="21"/>
      <c r="E25" s="4"/>
      <c r="F25" s="21"/>
      <c r="G25" s="21"/>
      <c r="H25" s="43"/>
      <c r="I25" s="31">
        <v>1121</v>
      </c>
    </row>
    <row r="26" spans="1:9" ht="13.2" x14ac:dyDescent="0.25">
      <c r="A26" s="9" t="s">
        <v>42</v>
      </c>
      <c r="B26" s="27">
        <f t="shared" ref="B26:H26" si="0">SUM(B10:B24)-B21</f>
        <v>104567.32</v>
      </c>
      <c r="C26" s="27">
        <f t="shared" si="0"/>
        <v>113590.11000000002</v>
      </c>
      <c r="D26" s="27">
        <f t="shared" si="0"/>
        <v>111617.41</v>
      </c>
      <c r="E26" s="27">
        <f t="shared" si="0"/>
        <v>109749.48</v>
      </c>
      <c r="F26" s="22">
        <f t="shared" si="0"/>
        <v>115195.01000000001</v>
      </c>
      <c r="G26" s="27">
        <f t="shared" si="0"/>
        <v>131465.97</v>
      </c>
      <c r="H26" s="44">
        <f t="shared" si="0"/>
        <v>109712.98999999999</v>
      </c>
      <c r="I26" s="21"/>
    </row>
    <row r="27" spans="1:9" ht="12.75" customHeight="1" x14ac:dyDescent="0.25">
      <c r="A27" s="10"/>
      <c r="B27" s="23" t="s">
        <v>37</v>
      </c>
      <c r="C27" s="11" t="s">
        <v>12</v>
      </c>
      <c r="D27" s="23" t="s">
        <v>37</v>
      </c>
      <c r="E27" s="11" t="s">
        <v>12</v>
      </c>
      <c r="F27" s="23" t="s">
        <v>37</v>
      </c>
      <c r="G27" s="23" t="s">
        <v>12</v>
      </c>
      <c r="H27" s="47" t="s">
        <v>37</v>
      </c>
      <c r="I27" s="22">
        <f>SUM(I10:I25)-I22</f>
        <v>125951.56999999998</v>
      </c>
    </row>
    <row r="28" spans="1:9" ht="12.75" customHeight="1" x14ac:dyDescent="0.25">
      <c r="A28" s="10"/>
      <c r="B28" s="23" t="s">
        <v>36</v>
      </c>
      <c r="C28" s="11" t="s">
        <v>13</v>
      </c>
      <c r="D28" s="23" t="s">
        <v>36</v>
      </c>
      <c r="E28" s="11" t="s">
        <v>13</v>
      </c>
      <c r="F28" s="23" t="s">
        <v>36</v>
      </c>
      <c r="G28" s="23" t="s">
        <v>36</v>
      </c>
      <c r="H28" s="47" t="s">
        <v>36</v>
      </c>
      <c r="I28" s="23" t="s">
        <v>37</v>
      </c>
    </row>
    <row r="29" spans="1:9" ht="12.75" customHeight="1" x14ac:dyDescent="0.25">
      <c r="A29" s="10"/>
      <c r="B29" s="23" t="s">
        <v>50</v>
      </c>
      <c r="C29" s="11" t="s">
        <v>50</v>
      </c>
      <c r="D29" s="23" t="s">
        <v>51</v>
      </c>
      <c r="E29" s="11" t="s">
        <v>51</v>
      </c>
      <c r="F29" s="23" t="s">
        <v>67</v>
      </c>
      <c r="G29" s="23" t="s">
        <v>67</v>
      </c>
      <c r="H29" s="47" t="s">
        <v>67</v>
      </c>
      <c r="I29" s="23" t="s">
        <v>36</v>
      </c>
    </row>
    <row r="30" spans="1:9" ht="12.75" customHeight="1" x14ac:dyDescent="0.25">
      <c r="A30" s="12" t="s">
        <v>25</v>
      </c>
      <c r="B30" s="24"/>
      <c r="C30" s="14"/>
      <c r="D30" s="24"/>
      <c r="E30" s="14"/>
      <c r="F30" s="24"/>
      <c r="G30" s="24"/>
      <c r="H30" s="48"/>
      <c r="I30" s="23" t="s">
        <v>67</v>
      </c>
    </row>
    <row r="31" spans="1:9" ht="12.75" customHeight="1" x14ac:dyDescent="0.25">
      <c r="A31" s="10" t="s">
        <v>18</v>
      </c>
      <c r="B31" s="24">
        <v>0</v>
      </c>
      <c r="C31" s="14">
        <v>110.95</v>
      </c>
      <c r="D31" s="24">
        <v>0</v>
      </c>
      <c r="E31" s="4">
        <v>90</v>
      </c>
      <c r="F31" s="24">
        <v>200</v>
      </c>
      <c r="G31" s="24">
        <v>302.77</v>
      </c>
      <c r="H31" s="48">
        <v>350</v>
      </c>
      <c r="I31" s="24"/>
    </row>
    <row r="32" spans="1:9" ht="12.75" customHeight="1" x14ac:dyDescent="0.25">
      <c r="A32" s="10" t="s">
        <v>1</v>
      </c>
      <c r="B32" s="24">
        <v>500</v>
      </c>
      <c r="C32" s="14">
        <v>0</v>
      </c>
      <c r="D32" s="24">
        <v>500</v>
      </c>
      <c r="E32" s="4">
        <v>500</v>
      </c>
      <c r="F32" s="24">
        <v>500</v>
      </c>
      <c r="G32" s="24">
        <v>500</v>
      </c>
      <c r="H32" s="48">
        <v>500</v>
      </c>
      <c r="I32" s="24">
        <v>714.95</v>
      </c>
    </row>
    <row r="33" spans="1:10" ht="12.75" customHeight="1" x14ac:dyDescent="0.25">
      <c r="A33" s="35" t="s">
        <v>64</v>
      </c>
      <c r="B33" s="37">
        <v>8000</v>
      </c>
      <c r="C33" s="36">
        <v>4305.25</v>
      </c>
      <c r="D33" s="37">
        <v>10000</v>
      </c>
      <c r="E33" s="30">
        <v>6681.12</v>
      </c>
      <c r="F33" s="37">
        <v>10000</v>
      </c>
      <c r="G33" s="37">
        <v>8703</v>
      </c>
      <c r="H33" s="49">
        <v>10000</v>
      </c>
      <c r="I33" s="24">
        <v>500</v>
      </c>
    </row>
    <row r="34" spans="1:10" ht="12.75" customHeight="1" x14ac:dyDescent="0.25">
      <c r="A34" s="35" t="s">
        <v>63</v>
      </c>
      <c r="B34" s="37">
        <v>2823</v>
      </c>
      <c r="C34" s="36">
        <v>2469.25</v>
      </c>
      <c r="D34" s="37">
        <v>6789</v>
      </c>
      <c r="E34" s="30">
        <v>6409</v>
      </c>
      <c r="F34" s="37">
        <v>1600</v>
      </c>
      <c r="G34" s="37">
        <v>1372</v>
      </c>
      <c r="H34" s="49">
        <v>1297</v>
      </c>
      <c r="I34" s="37">
        <v>2352</v>
      </c>
    </row>
    <row r="35" spans="1:10" ht="12.75" customHeight="1" x14ac:dyDescent="0.25">
      <c r="A35" s="10" t="s">
        <v>11</v>
      </c>
      <c r="B35" s="24">
        <v>80</v>
      </c>
      <c r="C35" s="14">
        <v>0</v>
      </c>
      <c r="D35" s="24">
        <v>60</v>
      </c>
      <c r="E35" s="4">
        <v>0</v>
      </c>
      <c r="F35" s="24"/>
      <c r="G35" s="24">
        <v>60</v>
      </c>
      <c r="H35" s="48">
        <v>60</v>
      </c>
      <c r="I35" s="37"/>
    </row>
    <row r="36" spans="1:10" ht="12.75" customHeight="1" x14ac:dyDescent="0.25">
      <c r="A36" s="10" t="s">
        <v>15</v>
      </c>
      <c r="B36" s="24">
        <v>500</v>
      </c>
      <c r="C36" s="14">
        <v>99.95</v>
      </c>
      <c r="D36" s="24">
        <v>500</v>
      </c>
      <c r="E36" s="4">
        <v>0</v>
      </c>
      <c r="F36" s="24">
        <v>500</v>
      </c>
      <c r="G36" s="24"/>
      <c r="H36" s="48">
        <v>0</v>
      </c>
      <c r="I36" s="24"/>
    </row>
    <row r="37" spans="1:10" ht="12.75" customHeight="1" x14ac:dyDescent="0.25">
      <c r="A37" s="10" t="s">
        <v>43</v>
      </c>
      <c r="B37" s="24">
        <v>2000</v>
      </c>
      <c r="C37" s="14">
        <v>2201.21</v>
      </c>
      <c r="D37" s="24">
        <v>5000</v>
      </c>
      <c r="E37" s="4">
        <v>4965</v>
      </c>
      <c r="F37" s="24">
        <v>2000</v>
      </c>
      <c r="G37" s="24"/>
      <c r="H37" s="48">
        <v>2000</v>
      </c>
      <c r="I37" s="24"/>
    </row>
    <row r="38" spans="1:10" ht="12.75" customHeight="1" x14ac:dyDescent="0.25">
      <c r="A38" s="10" t="s">
        <v>33</v>
      </c>
      <c r="B38" s="24">
        <v>1000</v>
      </c>
      <c r="C38" s="14">
        <v>570.54999999999995</v>
      </c>
      <c r="D38" s="24">
        <v>1000</v>
      </c>
      <c r="E38" s="4">
        <v>477.53</v>
      </c>
      <c r="F38" s="24">
        <v>1000</v>
      </c>
      <c r="G38" s="24"/>
      <c r="H38" s="48">
        <v>1000</v>
      </c>
      <c r="I38" s="24"/>
    </row>
    <row r="39" spans="1:10" ht="12.75" customHeight="1" x14ac:dyDescent="0.25">
      <c r="A39" s="15" t="s">
        <v>20</v>
      </c>
      <c r="B39" s="24"/>
      <c r="C39" s="14">
        <v>0</v>
      </c>
      <c r="D39" s="24"/>
      <c r="E39" s="4">
        <v>0</v>
      </c>
      <c r="F39" s="24"/>
      <c r="G39" s="24"/>
      <c r="H39" s="48"/>
      <c r="I39" s="24"/>
    </row>
    <row r="40" spans="1:10" ht="12.75" customHeight="1" x14ac:dyDescent="0.25">
      <c r="A40" s="10" t="s">
        <v>21</v>
      </c>
      <c r="B40" s="24">
        <v>500</v>
      </c>
      <c r="C40" s="14">
        <v>264.39</v>
      </c>
      <c r="D40" s="24">
        <v>500</v>
      </c>
      <c r="E40" s="4">
        <v>361.21</v>
      </c>
      <c r="F40" s="24">
        <v>500</v>
      </c>
      <c r="G40" s="24">
        <v>123.83</v>
      </c>
      <c r="H40" s="48">
        <v>500</v>
      </c>
      <c r="I40" s="24"/>
    </row>
    <row r="41" spans="1:10" ht="12.75" customHeight="1" x14ac:dyDescent="0.25">
      <c r="A41" s="10" t="s">
        <v>27</v>
      </c>
      <c r="B41" s="24">
        <v>6400</v>
      </c>
      <c r="C41" s="14">
        <v>9310.2199999999993</v>
      </c>
      <c r="D41" s="24">
        <v>6400</v>
      </c>
      <c r="E41" s="4">
        <v>7658.34</v>
      </c>
      <c r="F41" s="24">
        <v>7000</v>
      </c>
      <c r="G41" s="24">
        <v>8652.76</v>
      </c>
      <c r="H41" s="48">
        <v>8000</v>
      </c>
      <c r="I41" s="24">
        <v>50</v>
      </c>
    </row>
    <row r="42" spans="1:10" ht="12.75" customHeight="1" x14ac:dyDescent="0.25">
      <c r="A42" s="10" t="s">
        <v>39</v>
      </c>
      <c r="B42" s="24">
        <v>20000</v>
      </c>
      <c r="C42" s="14">
        <v>20301.97</v>
      </c>
      <c r="D42" s="24">
        <v>20000</v>
      </c>
      <c r="E42" s="4">
        <v>16741.490000000002</v>
      </c>
      <c r="F42" s="24">
        <v>20000</v>
      </c>
      <c r="G42" s="24">
        <v>19579.46</v>
      </c>
      <c r="H42" s="48">
        <v>20000</v>
      </c>
      <c r="I42" s="24">
        <v>8236.85</v>
      </c>
    </row>
    <row r="43" spans="1:10" ht="12.75" customHeight="1" x14ac:dyDescent="0.25">
      <c r="A43" s="10" t="s">
        <v>74</v>
      </c>
      <c r="B43" s="24"/>
      <c r="C43" s="14"/>
      <c r="D43" s="24"/>
      <c r="E43" s="4"/>
      <c r="F43" s="24"/>
      <c r="G43" s="24"/>
      <c r="H43" s="48">
        <v>400</v>
      </c>
      <c r="I43" s="24">
        <v>16546.64</v>
      </c>
    </row>
    <row r="44" spans="1:10" ht="12.75" customHeight="1" x14ac:dyDescent="0.25">
      <c r="A44" s="10" t="s">
        <v>75</v>
      </c>
      <c r="B44" s="24"/>
      <c r="C44" s="14"/>
      <c r="D44" s="24"/>
      <c r="E44" s="4"/>
      <c r="F44" s="24"/>
      <c r="G44" s="24"/>
      <c r="H44" s="48">
        <v>1300</v>
      </c>
      <c r="I44" s="24">
        <v>478</v>
      </c>
    </row>
    <row r="45" spans="1:10" ht="12.75" customHeight="1" x14ac:dyDescent="0.2">
      <c r="A45" s="16" t="s">
        <v>31</v>
      </c>
      <c r="B45" s="17">
        <f>SUM(B40:B42)</f>
        <v>26900</v>
      </c>
      <c r="C45" s="17">
        <f>SUM(C40:C42)</f>
        <v>29876.58</v>
      </c>
      <c r="D45" s="25">
        <f>SUM(D40:D42)</f>
        <v>26900</v>
      </c>
      <c r="E45" s="17">
        <f>SUM(E40:E42)</f>
        <v>24761.040000000001</v>
      </c>
      <c r="F45" s="25">
        <f>SUM(F40:F42)</f>
        <v>27500</v>
      </c>
      <c r="G45" s="25"/>
      <c r="H45" s="50">
        <f>SUM(H40:H44)</f>
        <v>30200</v>
      </c>
      <c r="I45" s="24">
        <v>1660.58</v>
      </c>
    </row>
    <row r="46" spans="1:10" ht="12.75" customHeight="1" x14ac:dyDescent="0.25">
      <c r="A46" s="10" t="s">
        <v>61</v>
      </c>
      <c r="B46" s="24">
        <v>250</v>
      </c>
      <c r="C46" s="14">
        <v>227.49</v>
      </c>
      <c r="D46" s="24">
        <v>250</v>
      </c>
      <c r="E46" s="4">
        <v>250</v>
      </c>
      <c r="F46" s="24">
        <v>250</v>
      </c>
      <c r="G46" s="24">
        <v>50</v>
      </c>
      <c r="H46" s="48">
        <v>250</v>
      </c>
      <c r="I46" s="25">
        <f>SUM(I41:I45)</f>
        <v>26972.07</v>
      </c>
    </row>
    <row r="47" spans="1:10" ht="12.75" customHeight="1" x14ac:dyDescent="0.25">
      <c r="A47" s="10" t="s">
        <v>38</v>
      </c>
      <c r="B47" s="24">
        <v>1500</v>
      </c>
      <c r="C47" s="14">
        <v>535.54999999999995</v>
      </c>
      <c r="D47" s="24">
        <v>1500</v>
      </c>
      <c r="E47" s="4">
        <v>1382.41</v>
      </c>
      <c r="F47" s="24">
        <v>1500</v>
      </c>
      <c r="G47" s="24">
        <v>1093.28</v>
      </c>
      <c r="H47" s="48">
        <v>1500</v>
      </c>
      <c r="I47" s="24">
        <v>179.98</v>
      </c>
    </row>
    <row r="48" spans="1:10" ht="12.75" customHeight="1" x14ac:dyDescent="0.25">
      <c r="A48" s="10" t="s">
        <v>26</v>
      </c>
      <c r="B48" s="24">
        <v>400</v>
      </c>
      <c r="C48" s="14">
        <v>300</v>
      </c>
      <c r="D48" s="24">
        <v>400</v>
      </c>
      <c r="E48" s="4">
        <v>300</v>
      </c>
      <c r="F48" s="24">
        <v>400</v>
      </c>
      <c r="G48" s="24">
        <v>300</v>
      </c>
      <c r="H48" s="48">
        <v>400</v>
      </c>
      <c r="I48" s="24"/>
    </row>
    <row r="49" spans="1:11" ht="12.75" customHeight="1" x14ac:dyDescent="0.25">
      <c r="A49" s="35" t="s">
        <v>14</v>
      </c>
      <c r="B49" s="37">
        <v>6500</v>
      </c>
      <c r="C49" s="36">
        <v>5087.5</v>
      </c>
      <c r="D49" s="37">
        <v>8000</v>
      </c>
      <c r="E49" s="30">
        <v>1850.93</v>
      </c>
      <c r="F49" s="37">
        <v>8000</v>
      </c>
      <c r="H49" s="49">
        <v>8000</v>
      </c>
      <c r="I49" s="24">
        <v>225</v>
      </c>
    </row>
    <row r="50" spans="1:11" ht="12.75" customHeight="1" x14ac:dyDescent="0.25">
      <c r="A50" s="10" t="s">
        <v>30</v>
      </c>
      <c r="B50" s="24">
        <v>10000</v>
      </c>
      <c r="C50" s="14">
        <v>6398</v>
      </c>
      <c r="D50" s="24">
        <v>5696.13</v>
      </c>
      <c r="E50" s="4">
        <v>5458.58</v>
      </c>
      <c r="F50" s="24">
        <v>1572.41</v>
      </c>
      <c r="G50" s="37">
        <v>5124.41</v>
      </c>
      <c r="H50" s="48">
        <v>0</v>
      </c>
      <c r="I50" s="37">
        <v>5924.8</v>
      </c>
    </row>
    <row r="51" spans="1:11" ht="12.75" customHeight="1" x14ac:dyDescent="0.25">
      <c r="A51" s="10" t="s">
        <v>10</v>
      </c>
      <c r="B51" s="24">
        <v>500</v>
      </c>
      <c r="C51" s="14">
        <v>424.75</v>
      </c>
      <c r="D51" s="24">
        <v>500</v>
      </c>
      <c r="E51" s="4">
        <v>255.56</v>
      </c>
      <c r="F51" s="24">
        <v>500</v>
      </c>
      <c r="G51" s="24">
        <v>253</v>
      </c>
      <c r="H51" s="48">
        <v>500</v>
      </c>
      <c r="I51" s="24">
        <v>370</v>
      </c>
    </row>
    <row r="52" spans="1:11" ht="12.75" customHeight="1" x14ac:dyDescent="0.25">
      <c r="A52" s="10" t="s">
        <v>48</v>
      </c>
      <c r="B52" s="24">
        <v>100</v>
      </c>
      <c r="C52" s="14">
        <v>100</v>
      </c>
      <c r="D52" s="24">
        <v>100</v>
      </c>
      <c r="E52" s="4">
        <v>100</v>
      </c>
      <c r="F52" s="24">
        <v>100</v>
      </c>
      <c r="G52" s="24">
        <v>0</v>
      </c>
      <c r="H52" s="48">
        <v>100</v>
      </c>
      <c r="I52" s="24">
        <v>237.54</v>
      </c>
    </row>
    <row r="53" spans="1:11" ht="12.75" customHeight="1" x14ac:dyDescent="0.25">
      <c r="A53" s="10" t="s">
        <v>23</v>
      </c>
      <c r="B53" s="24">
        <v>500</v>
      </c>
      <c r="C53" s="14">
        <v>320.56</v>
      </c>
      <c r="D53" s="24">
        <v>500</v>
      </c>
      <c r="E53" s="4">
        <v>23.32</v>
      </c>
      <c r="F53" s="24">
        <v>1300</v>
      </c>
      <c r="G53" s="24">
        <v>800.56</v>
      </c>
      <c r="H53" s="48">
        <v>500</v>
      </c>
      <c r="I53" s="24">
        <v>140</v>
      </c>
    </row>
    <row r="54" spans="1:11" ht="12.75" customHeight="1" x14ac:dyDescent="0.25">
      <c r="A54" s="10" t="s">
        <v>60</v>
      </c>
      <c r="B54" s="24">
        <v>200</v>
      </c>
      <c r="C54" s="14">
        <v>131.91999999999999</v>
      </c>
      <c r="D54" s="24">
        <v>200</v>
      </c>
      <c r="E54" s="4">
        <v>0</v>
      </c>
      <c r="F54" s="24">
        <v>200</v>
      </c>
      <c r="G54" s="24">
        <v>1549.17</v>
      </c>
      <c r="H54" s="48">
        <v>200</v>
      </c>
      <c r="I54" s="24">
        <v>536.35</v>
      </c>
    </row>
    <row r="55" spans="1:11" ht="12.75" customHeight="1" x14ac:dyDescent="0.25">
      <c r="A55" s="10" t="s">
        <v>5</v>
      </c>
      <c r="B55" s="24">
        <v>500</v>
      </c>
      <c r="C55" s="14">
        <v>491.51</v>
      </c>
      <c r="D55" s="24">
        <v>500</v>
      </c>
      <c r="E55" s="4">
        <v>162.86000000000001</v>
      </c>
      <c r="F55" s="24">
        <v>500</v>
      </c>
      <c r="G55" s="24">
        <v>1116.93</v>
      </c>
      <c r="H55" s="48">
        <v>500</v>
      </c>
      <c r="I55" s="24">
        <v>51.43</v>
      </c>
    </row>
    <row r="56" spans="1:11" ht="12.75" customHeight="1" x14ac:dyDescent="0.25">
      <c r="A56" s="15" t="s">
        <v>28</v>
      </c>
      <c r="B56" s="24"/>
      <c r="C56" s="14"/>
      <c r="D56" s="24"/>
      <c r="E56" s="4">
        <v>0</v>
      </c>
      <c r="F56" s="24"/>
      <c r="G56" s="24"/>
      <c r="H56" s="48"/>
      <c r="I56" s="24">
        <v>249.22</v>
      </c>
    </row>
    <row r="57" spans="1:11" ht="12.75" customHeight="1" x14ac:dyDescent="0.25">
      <c r="A57" s="10" t="s">
        <v>40</v>
      </c>
      <c r="B57" s="24">
        <v>1000</v>
      </c>
      <c r="C57" s="14">
        <v>1000</v>
      </c>
      <c r="D57" s="24">
        <v>1000</v>
      </c>
      <c r="E57" s="4">
        <v>630</v>
      </c>
      <c r="F57" s="24">
        <v>1000</v>
      </c>
      <c r="G57" s="24">
        <v>555</v>
      </c>
      <c r="H57" s="48">
        <v>0</v>
      </c>
      <c r="I57" s="24"/>
    </row>
    <row r="58" spans="1:11" ht="12.75" customHeight="1" x14ac:dyDescent="0.25">
      <c r="A58" s="10" t="s">
        <v>35</v>
      </c>
      <c r="B58" s="24">
        <v>8500</v>
      </c>
      <c r="C58" s="14">
        <v>9070.43</v>
      </c>
      <c r="D58" s="24">
        <v>3200</v>
      </c>
      <c r="E58" s="4">
        <v>1908.2</v>
      </c>
      <c r="F58" s="24">
        <v>8500</v>
      </c>
      <c r="G58" s="24">
        <v>6078</v>
      </c>
      <c r="H58" s="48">
        <v>8500</v>
      </c>
      <c r="I58" s="24"/>
    </row>
    <row r="59" spans="1:11" ht="12.75" customHeight="1" x14ac:dyDescent="0.25">
      <c r="A59" s="10" t="s">
        <v>32</v>
      </c>
      <c r="B59" s="24">
        <v>4000</v>
      </c>
      <c r="C59" s="14">
        <v>4000</v>
      </c>
      <c r="D59" s="24">
        <v>4000</v>
      </c>
      <c r="E59" s="4">
        <v>1360</v>
      </c>
      <c r="F59" s="24">
        <v>4000</v>
      </c>
      <c r="G59" s="24">
        <v>0</v>
      </c>
      <c r="H59" s="48">
        <v>4000</v>
      </c>
      <c r="I59" s="24">
        <v>6520</v>
      </c>
    </row>
    <row r="60" spans="1:11" ht="12.75" customHeight="1" x14ac:dyDescent="0.25">
      <c r="A60" s="10" t="s">
        <v>76</v>
      </c>
      <c r="B60" s="24"/>
      <c r="C60" s="14"/>
      <c r="D60" s="24"/>
      <c r="E60" s="4"/>
      <c r="F60" s="24"/>
      <c r="G60" s="24"/>
      <c r="H60" s="48">
        <v>4000</v>
      </c>
      <c r="I60" s="24"/>
    </row>
    <row r="61" spans="1:11" ht="12.75" customHeight="1" x14ac:dyDescent="0.25">
      <c r="A61" s="28" t="s">
        <v>79</v>
      </c>
      <c r="B61" s="24">
        <v>6000</v>
      </c>
      <c r="C61" s="14">
        <v>6000</v>
      </c>
      <c r="D61" s="24">
        <v>6000</v>
      </c>
      <c r="E61" s="4">
        <v>1492.5</v>
      </c>
      <c r="F61" s="24">
        <v>6000</v>
      </c>
      <c r="G61" s="24">
        <v>5132</v>
      </c>
      <c r="H61" s="48">
        <v>6800</v>
      </c>
      <c r="I61" s="24">
        <v>3750</v>
      </c>
    </row>
    <row r="62" spans="1:11" ht="12.75" customHeight="1" x14ac:dyDescent="0.25">
      <c r="A62" s="28" t="s">
        <v>80</v>
      </c>
      <c r="B62" s="24">
        <v>0</v>
      </c>
      <c r="C62" s="14">
        <v>0</v>
      </c>
      <c r="D62" s="24">
        <v>0</v>
      </c>
      <c r="E62" s="4">
        <v>0</v>
      </c>
      <c r="F62" s="24"/>
      <c r="G62" s="24"/>
      <c r="H62" s="48"/>
      <c r="I62" s="24">
        <v>4099</v>
      </c>
      <c r="K62" t="s">
        <v>85</v>
      </c>
    </row>
    <row r="63" spans="1:11" ht="12.75" customHeight="1" x14ac:dyDescent="0.2">
      <c r="A63" s="16" t="s">
        <v>2</v>
      </c>
      <c r="B63" s="17">
        <f>SUM(B57:B62)</f>
        <v>19500</v>
      </c>
      <c r="C63" s="17">
        <f>SUM(C57:C62)</f>
        <v>20070.43</v>
      </c>
      <c r="D63" s="25">
        <f>SUM(D57:D62)</f>
        <v>14200</v>
      </c>
      <c r="E63" s="17">
        <f>SUM(E57:E62)</f>
        <v>5390.7</v>
      </c>
      <c r="F63" s="25">
        <f>SUM(F57:F62)</f>
        <v>19500</v>
      </c>
      <c r="G63" s="25"/>
      <c r="H63" s="50">
        <f>SUM(H57:H62)</f>
        <v>23300</v>
      </c>
      <c r="I63" s="24"/>
    </row>
    <row r="64" spans="1:11" ht="12.75" customHeight="1" x14ac:dyDescent="0.25">
      <c r="A64" s="15" t="s">
        <v>0</v>
      </c>
      <c r="B64" s="13"/>
      <c r="C64" s="14"/>
      <c r="D64" s="24"/>
      <c r="E64" s="14"/>
      <c r="F64" s="24"/>
      <c r="G64" s="24"/>
      <c r="H64" s="48"/>
      <c r="I64" s="25">
        <f>SUM(I58:I63)</f>
        <v>14369</v>
      </c>
    </row>
    <row r="65" spans="1:9" ht="12.75" customHeight="1" x14ac:dyDescent="0.25">
      <c r="A65" s="10" t="s">
        <v>77</v>
      </c>
      <c r="B65" s="24">
        <v>350</v>
      </c>
      <c r="C65" s="14">
        <v>223.55</v>
      </c>
      <c r="D65" s="24">
        <v>350</v>
      </c>
      <c r="E65" s="4">
        <v>350</v>
      </c>
      <c r="F65" s="24">
        <v>400</v>
      </c>
      <c r="G65" s="24">
        <v>667.74</v>
      </c>
      <c r="H65" s="48">
        <v>700</v>
      </c>
      <c r="I65" s="24"/>
    </row>
    <row r="66" spans="1:9" ht="12.75" customHeight="1" x14ac:dyDescent="0.25">
      <c r="A66" s="10" t="s">
        <v>66</v>
      </c>
      <c r="B66" s="24">
        <v>300</v>
      </c>
      <c r="C66" s="14">
        <v>0</v>
      </c>
      <c r="D66" s="24">
        <v>300</v>
      </c>
      <c r="E66" s="4">
        <v>211</v>
      </c>
      <c r="F66" s="24">
        <v>300</v>
      </c>
      <c r="G66" s="24"/>
      <c r="H66" s="48">
        <v>0</v>
      </c>
      <c r="I66" s="24">
        <v>1380.45</v>
      </c>
    </row>
    <row r="67" spans="1:9" ht="12.75" customHeight="1" x14ac:dyDescent="0.25">
      <c r="A67" s="39" t="s">
        <v>69</v>
      </c>
      <c r="B67" s="37"/>
      <c r="C67" s="36"/>
      <c r="D67" s="37">
        <v>200</v>
      </c>
      <c r="E67" s="30">
        <v>200</v>
      </c>
      <c r="F67" s="37">
        <v>200</v>
      </c>
      <c r="G67" s="37">
        <v>235.96</v>
      </c>
      <c r="H67" s="49">
        <v>200</v>
      </c>
      <c r="I67" s="24"/>
    </row>
    <row r="68" spans="1:9" ht="12.75" customHeight="1" x14ac:dyDescent="0.25">
      <c r="A68" s="10" t="s">
        <v>58</v>
      </c>
      <c r="B68" s="24">
        <v>400</v>
      </c>
      <c r="C68" s="14">
        <v>351.5</v>
      </c>
      <c r="D68" s="24">
        <v>400</v>
      </c>
      <c r="E68" s="4">
        <v>0</v>
      </c>
      <c r="F68" s="24">
        <v>400</v>
      </c>
      <c r="G68" s="24">
        <v>300</v>
      </c>
      <c r="H68" s="48">
        <v>0</v>
      </c>
      <c r="I68" s="37">
        <v>200</v>
      </c>
    </row>
    <row r="69" spans="1:9" ht="12.75" customHeight="1" x14ac:dyDescent="0.25">
      <c r="A69" s="10" t="s">
        <v>59</v>
      </c>
      <c r="B69" s="24">
        <v>100</v>
      </c>
      <c r="C69" s="14">
        <v>39.82</v>
      </c>
      <c r="D69" s="24">
        <v>100</v>
      </c>
      <c r="E69" s="4">
        <v>28.96</v>
      </c>
      <c r="F69" s="24">
        <v>100</v>
      </c>
      <c r="G69" s="24"/>
      <c r="H69" s="48">
        <v>100</v>
      </c>
      <c r="I69" s="24"/>
    </row>
    <row r="70" spans="1:9" ht="12.75" customHeight="1" x14ac:dyDescent="0.25">
      <c r="A70" s="38" t="s">
        <v>65</v>
      </c>
      <c r="B70" s="24">
        <v>900</v>
      </c>
      <c r="C70" s="14">
        <v>1062.43</v>
      </c>
      <c r="D70" s="24">
        <v>1400</v>
      </c>
      <c r="E70" s="4">
        <v>431.71</v>
      </c>
      <c r="F70" s="24">
        <v>1400</v>
      </c>
      <c r="G70" s="24">
        <v>1052.97</v>
      </c>
      <c r="H70" s="48">
        <v>1400</v>
      </c>
      <c r="I70" s="24"/>
    </row>
    <row r="71" spans="1:9" ht="12.75" customHeight="1" x14ac:dyDescent="0.25">
      <c r="A71" s="10" t="s">
        <v>29</v>
      </c>
      <c r="B71" s="24">
        <v>300</v>
      </c>
      <c r="C71" s="14">
        <v>205.32</v>
      </c>
      <c r="D71" s="24">
        <v>300</v>
      </c>
      <c r="E71" s="4">
        <v>164.76</v>
      </c>
      <c r="F71" s="24">
        <v>300</v>
      </c>
      <c r="G71" s="24">
        <v>251.88</v>
      </c>
      <c r="H71" s="48">
        <v>300</v>
      </c>
      <c r="I71" s="24">
        <v>987.49</v>
      </c>
    </row>
    <row r="72" spans="1:9" ht="12.75" customHeight="1" x14ac:dyDescent="0.25">
      <c r="A72" s="10" t="s">
        <v>7</v>
      </c>
      <c r="B72" s="24">
        <v>300</v>
      </c>
      <c r="C72" s="14">
        <v>353.89</v>
      </c>
      <c r="D72" s="24">
        <v>300</v>
      </c>
      <c r="E72" s="4">
        <v>0</v>
      </c>
      <c r="F72" s="24">
        <v>400</v>
      </c>
      <c r="G72" s="24">
        <v>113.9</v>
      </c>
      <c r="H72" s="48">
        <v>400</v>
      </c>
      <c r="I72" s="24">
        <v>243.19</v>
      </c>
    </row>
    <row r="73" spans="1:9" ht="12.75" customHeight="1" x14ac:dyDescent="0.25">
      <c r="A73" s="10" t="s">
        <v>55</v>
      </c>
      <c r="B73" s="24">
        <v>500</v>
      </c>
      <c r="C73" s="14">
        <v>448.56</v>
      </c>
      <c r="D73" s="24">
        <v>0</v>
      </c>
      <c r="E73" s="4">
        <v>0</v>
      </c>
      <c r="F73" s="24">
        <v>0</v>
      </c>
      <c r="G73" s="24"/>
      <c r="H73" s="48">
        <v>0</v>
      </c>
      <c r="I73" s="24">
        <v>105.9</v>
      </c>
    </row>
    <row r="74" spans="1:9" ht="12.75" customHeight="1" x14ac:dyDescent="0.25">
      <c r="A74" s="10" t="s">
        <v>19</v>
      </c>
      <c r="B74" s="24">
        <v>900</v>
      </c>
      <c r="C74" s="14">
        <v>784.76</v>
      </c>
      <c r="D74" s="24">
        <v>900</v>
      </c>
      <c r="E74" s="4">
        <v>887.84</v>
      </c>
      <c r="F74" s="24">
        <v>900</v>
      </c>
      <c r="G74" s="24">
        <v>986.31</v>
      </c>
      <c r="H74" s="48">
        <v>900</v>
      </c>
      <c r="I74" s="24"/>
    </row>
    <row r="75" spans="1:9" ht="12.75" customHeight="1" x14ac:dyDescent="0.2">
      <c r="A75" s="16" t="s">
        <v>9</v>
      </c>
      <c r="B75" s="17">
        <f>SUM(B65:B74)</f>
        <v>4050</v>
      </c>
      <c r="C75" s="17">
        <f>SUM(C65:C74)</f>
        <v>3469.83</v>
      </c>
      <c r="D75" s="25">
        <f>SUM(D65:D74)</f>
        <v>4250</v>
      </c>
      <c r="E75" s="17">
        <f>SUM(E65:E74)</f>
        <v>2274.27</v>
      </c>
      <c r="F75" s="25">
        <f>SUM(F65:F74)</f>
        <v>4400</v>
      </c>
      <c r="G75" s="25"/>
      <c r="H75" s="50">
        <f>SUM(H65:H74)</f>
        <v>4000</v>
      </c>
      <c r="I75" s="24">
        <v>672.38</v>
      </c>
    </row>
    <row r="76" spans="1:9" ht="12.75" customHeight="1" x14ac:dyDescent="0.25">
      <c r="A76" s="10" t="s">
        <v>57</v>
      </c>
      <c r="B76" s="24">
        <v>13264.32</v>
      </c>
      <c r="C76" s="14">
        <v>0</v>
      </c>
      <c r="D76" s="24">
        <v>15972.28</v>
      </c>
      <c r="E76" s="4">
        <v>0</v>
      </c>
      <c r="F76" s="24">
        <v>28672.6</v>
      </c>
      <c r="G76" s="24"/>
      <c r="H76" s="48">
        <v>24088.99</v>
      </c>
      <c r="I76" s="25">
        <f>SUM(I66:I75)</f>
        <v>3589.4100000000003</v>
      </c>
    </row>
    <row r="77" spans="1:9" ht="12.75" customHeight="1" x14ac:dyDescent="0.25">
      <c r="A77" s="10" t="s">
        <v>56</v>
      </c>
      <c r="B77" s="24">
        <v>0</v>
      </c>
      <c r="C77" s="14">
        <v>1569.46</v>
      </c>
      <c r="D77" s="24">
        <v>0</v>
      </c>
      <c r="E77" s="4">
        <v>0</v>
      </c>
      <c r="F77" s="24">
        <v>1500</v>
      </c>
      <c r="G77" s="24">
        <v>938.6</v>
      </c>
      <c r="H77" s="48">
        <v>0</v>
      </c>
      <c r="I77" s="24">
        <v>17220</v>
      </c>
    </row>
    <row r="78" spans="1:9" ht="12.75" customHeight="1" x14ac:dyDescent="0.25">
      <c r="A78" s="35" t="s">
        <v>53</v>
      </c>
      <c r="B78" s="37"/>
      <c r="C78" s="36"/>
      <c r="D78" s="37">
        <v>1000</v>
      </c>
      <c r="E78" s="4">
        <v>0</v>
      </c>
      <c r="F78" s="37">
        <v>0</v>
      </c>
      <c r="G78" s="37"/>
      <c r="H78" s="49">
        <v>0</v>
      </c>
      <c r="I78" s="24"/>
    </row>
    <row r="79" spans="1:9" ht="12.75" customHeight="1" x14ac:dyDescent="0.25">
      <c r="A79" s="10" t="s">
        <v>16</v>
      </c>
      <c r="B79" s="24">
        <v>3000</v>
      </c>
      <c r="C79" s="14">
        <v>3000</v>
      </c>
      <c r="D79" s="24">
        <v>5300</v>
      </c>
      <c r="E79" s="4">
        <v>0</v>
      </c>
      <c r="F79" s="24">
        <v>3000</v>
      </c>
      <c r="G79" s="24"/>
      <c r="H79" s="48">
        <v>0</v>
      </c>
      <c r="I79" s="37"/>
    </row>
    <row r="80" spans="1:9" ht="13.2" x14ac:dyDescent="0.25">
      <c r="A80" s="8"/>
      <c r="B80" s="21"/>
      <c r="C80" s="4"/>
      <c r="D80" s="21"/>
      <c r="E80" s="4"/>
      <c r="F80" s="21"/>
      <c r="G80" s="21"/>
      <c r="H80" s="43"/>
      <c r="I80" s="24"/>
    </row>
    <row r="81" spans="1:9" ht="12.75" customHeight="1" x14ac:dyDescent="0.25">
      <c r="A81" s="18" t="s">
        <v>46</v>
      </c>
      <c r="B81" s="40">
        <f t="shared" ref="B81:I82" si="1">((SUM(B31:B79)-B63)-B75)-B45</f>
        <v>102067.32</v>
      </c>
      <c r="C81" s="40">
        <f t="shared" si="1"/>
        <v>81760.739999999991</v>
      </c>
      <c r="D81" s="40">
        <f t="shared" si="1"/>
        <v>109117.41</v>
      </c>
      <c r="E81" s="40">
        <f t="shared" si="1"/>
        <v>61332.320000000014</v>
      </c>
      <c r="F81" s="25">
        <f t="shared" si="1"/>
        <v>114695.01000000001</v>
      </c>
      <c r="G81" s="40">
        <f t="shared" si="1"/>
        <v>65893.529999999984</v>
      </c>
      <c r="H81" s="50">
        <f t="shared" si="1"/>
        <v>108745.98999999999</v>
      </c>
      <c r="I81" s="21"/>
    </row>
    <row r="82" spans="1:9" ht="12.75" customHeight="1" x14ac:dyDescent="0.2">
      <c r="I82" s="25">
        <f t="shared" si="1"/>
        <v>73631.75</v>
      </c>
    </row>
    <row r="84" spans="1:9" ht="12.75" customHeight="1" x14ac:dyDescent="0.25">
      <c r="A84" t="s">
        <v>82</v>
      </c>
    </row>
    <row r="85" spans="1:9" ht="12.75" customHeight="1" x14ac:dyDescent="0.25">
      <c r="A85" t="s">
        <v>83</v>
      </c>
    </row>
    <row r="86" spans="1:9" ht="12.75" customHeight="1" x14ac:dyDescent="0.25">
      <c r="A86" t="s">
        <v>84</v>
      </c>
    </row>
  </sheetData>
  <mergeCells count="2">
    <mergeCell ref="A1:E1"/>
    <mergeCell ref="A2:E2"/>
  </mergeCells>
  <phoneticPr fontId="18" type="noConversion"/>
  <printOptions horizontalCentered="1" verticalCentered="1"/>
  <pageMargins left="0.25" right="0.25" top="0.75" bottom="0.75" header="0.3" footer="0.3"/>
  <pageSetup scale="83" fitToHeight="2" orientation="landscape" r:id="rId1"/>
  <headerFooter scaleWithDoc="0">
    <oddHeader>Page &amp;P</oddHeader>
    <oddFooter xml:space="preserve">&amp;L&amp;"Arial,Bold"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6"/>
  <sheetViews>
    <sheetView tabSelected="1" zoomScaleNormal="100" workbookViewId="0">
      <selection activeCell="A5" sqref="A5"/>
    </sheetView>
  </sheetViews>
  <sheetFormatPr defaultColWidth="9.109375" defaultRowHeight="13.2" x14ac:dyDescent="0.25"/>
  <cols>
    <col min="1" max="1" width="33.44140625" style="26" customWidth="1"/>
    <col min="2" max="5" width="12.88671875" style="26" customWidth="1"/>
    <col min="6" max="6" width="13.6640625" style="26" customWidth="1"/>
    <col min="7" max="7" width="12.88671875" style="26" customWidth="1"/>
    <col min="8" max="8" width="13.6640625" style="51" customWidth="1"/>
    <col min="9" max="9" width="12.88671875" style="26" customWidth="1"/>
    <col min="10" max="16384" width="9.109375" style="26"/>
  </cols>
  <sheetData>
    <row r="1" spans="1:9" ht="18" customHeight="1" x14ac:dyDescent="0.25">
      <c r="A1" s="72" t="s">
        <v>119</v>
      </c>
      <c r="B1" s="72"/>
      <c r="C1" s="72"/>
      <c r="D1" s="72"/>
    </row>
    <row r="2" spans="1:9" x14ac:dyDescent="0.25">
      <c r="A2" s="68" t="s">
        <v>118</v>
      </c>
    </row>
    <row r="3" spans="1:9" x14ac:dyDescent="0.25">
      <c r="A3" s="1"/>
      <c r="B3" s="19" t="s">
        <v>37</v>
      </c>
      <c r="C3" s="19" t="s">
        <v>12</v>
      </c>
      <c r="D3" s="19" t="s">
        <v>37</v>
      </c>
      <c r="E3" s="2" t="s">
        <v>12</v>
      </c>
      <c r="F3" s="19" t="s">
        <v>37</v>
      </c>
      <c r="G3" s="2" t="s">
        <v>12</v>
      </c>
      <c r="H3" s="41" t="s">
        <v>37</v>
      </c>
      <c r="I3" s="2" t="s">
        <v>12</v>
      </c>
    </row>
    <row r="4" spans="1:9" x14ac:dyDescent="0.25">
      <c r="A4" s="1"/>
      <c r="B4" s="19" t="s">
        <v>86</v>
      </c>
      <c r="C4" s="19" t="s">
        <v>36</v>
      </c>
      <c r="D4" s="19" t="s">
        <v>86</v>
      </c>
      <c r="E4" s="2" t="s">
        <v>13</v>
      </c>
      <c r="F4" s="19" t="s">
        <v>86</v>
      </c>
      <c r="G4" s="2" t="s">
        <v>13</v>
      </c>
      <c r="H4" s="41" t="s">
        <v>86</v>
      </c>
      <c r="I4" s="2" t="s">
        <v>13</v>
      </c>
    </row>
    <row r="5" spans="1:9" x14ac:dyDescent="0.25">
      <c r="A5" s="1"/>
      <c r="B5" s="19" t="s">
        <v>70</v>
      </c>
      <c r="C5" s="19" t="s">
        <v>70</v>
      </c>
      <c r="D5" s="19" t="s">
        <v>87</v>
      </c>
      <c r="E5" s="2" t="s">
        <v>87</v>
      </c>
      <c r="F5" s="19" t="s">
        <v>96</v>
      </c>
      <c r="G5" s="2" t="s">
        <v>96</v>
      </c>
      <c r="H5" s="41" t="s">
        <v>114</v>
      </c>
      <c r="I5" s="2" t="s">
        <v>114</v>
      </c>
    </row>
    <row r="6" spans="1:9" x14ac:dyDescent="0.25">
      <c r="A6" s="3" t="s">
        <v>6</v>
      </c>
      <c r="B6" s="20"/>
      <c r="C6" s="20"/>
      <c r="D6" s="20"/>
      <c r="E6" s="1"/>
      <c r="F6" s="20"/>
      <c r="G6" s="1"/>
      <c r="H6" s="42"/>
      <c r="I6" s="1"/>
    </row>
    <row r="7" spans="1:9" x14ac:dyDescent="0.25">
      <c r="A7" s="1" t="s">
        <v>45</v>
      </c>
      <c r="B7" s="21">
        <v>54481.99</v>
      </c>
      <c r="C7" s="21">
        <v>42385.73</v>
      </c>
      <c r="D7" s="21">
        <v>42385.73</v>
      </c>
      <c r="E7" s="4">
        <v>28323.919999999998</v>
      </c>
      <c r="F7" s="21">
        <v>28323.919999999998</v>
      </c>
      <c r="G7" s="4">
        <v>27920.91</v>
      </c>
      <c r="H7" s="43">
        <v>26251.16</v>
      </c>
      <c r="I7" s="4">
        <v>26251.16</v>
      </c>
    </row>
    <row r="8" spans="1:9" x14ac:dyDescent="0.25">
      <c r="A8" s="1" t="s">
        <v>68</v>
      </c>
      <c r="B8" s="21">
        <v>101</v>
      </c>
      <c r="C8" s="21">
        <v>80</v>
      </c>
      <c r="D8" s="21">
        <v>80</v>
      </c>
      <c r="E8" s="4">
        <v>80</v>
      </c>
      <c r="F8" s="21">
        <v>80</v>
      </c>
      <c r="G8" s="4">
        <v>80</v>
      </c>
      <c r="H8" s="43">
        <v>249.56</v>
      </c>
      <c r="I8" s="4">
        <v>249.56</v>
      </c>
    </row>
    <row r="9" spans="1:9" x14ac:dyDescent="0.25">
      <c r="A9" s="1" t="s">
        <v>78</v>
      </c>
      <c r="B9" s="21">
        <v>-1570</v>
      </c>
      <c r="C9" s="21"/>
      <c r="D9" s="21">
        <v>-296.49</v>
      </c>
      <c r="E9" s="4">
        <f>-103.12-40-42.3-217.59</f>
        <v>-403.01</v>
      </c>
      <c r="F9" s="21">
        <f>-103.12-40-42.3-217.59</f>
        <v>-403.01</v>
      </c>
      <c r="G9" s="4">
        <v>0</v>
      </c>
      <c r="H9" s="43"/>
      <c r="I9" s="21">
        <f>-280-591</f>
        <v>-871</v>
      </c>
    </row>
    <row r="10" spans="1:9" x14ac:dyDescent="0.25">
      <c r="A10" s="6" t="s">
        <v>47</v>
      </c>
      <c r="B10" s="22">
        <f t="shared" ref="B10:G10" si="0">SUM(B7:B9)</f>
        <v>53012.99</v>
      </c>
      <c r="C10" s="22">
        <f t="shared" si="0"/>
        <v>42465.73</v>
      </c>
      <c r="D10" s="22">
        <f t="shared" si="0"/>
        <v>42169.240000000005</v>
      </c>
      <c r="E10" s="22">
        <f t="shared" si="0"/>
        <v>28000.91</v>
      </c>
      <c r="F10" s="22">
        <f t="shared" si="0"/>
        <v>28000.91</v>
      </c>
      <c r="G10" s="22">
        <f t="shared" si="0"/>
        <v>28000.91</v>
      </c>
      <c r="H10" s="44">
        <f t="shared" ref="H10:I10" si="1">SUM(H7:H9)</f>
        <v>26500.720000000001</v>
      </c>
      <c r="I10" s="22">
        <f t="shared" si="1"/>
        <v>25629.72</v>
      </c>
    </row>
    <row r="11" spans="1:9" x14ac:dyDescent="0.25">
      <c r="A11" s="1" t="s">
        <v>54</v>
      </c>
      <c r="B11" s="21">
        <v>0</v>
      </c>
      <c r="C11" s="21">
        <v>1480</v>
      </c>
      <c r="D11" s="21">
        <v>0</v>
      </c>
      <c r="E11" s="4">
        <f>700+90.77+18.9+593.21</f>
        <v>1402.88</v>
      </c>
      <c r="F11" s="21">
        <v>0</v>
      </c>
      <c r="G11" s="4">
        <f>0.97+799+14-824.24+164.83</f>
        <v>154.56000000000003</v>
      </c>
      <c r="H11" s="43">
        <v>0</v>
      </c>
      <c r="I11" s="4"/>
    </row>
    <row r="12" spans="1:9" x14ac:dyDescent="0.25">
      <c r="A12" s="1" t="s">
        <v>22</v>
      </c>
      <c r="B12" s="21">
        <v>0</v>
      </c>
      <c r="C12" s="21"/>
      <c r="D12" s="21">
        <v>0</v>
      </c>
      <c r="E12" s="4">
        <f>492.46+144.68+100+135.18+100+116.52+50.74-144.68+58.26+537.24+39.12+60</f>
        <v>1689.5199999999998</v>
      </c>
      <c r="F12" s="21">
        <v>0</v>
      </c>
      <c r="G12" s="4">
        <f>91.52+35.48+4000+97.1+77.68+30.29+77.68+55.21+30+116.8+97.97+39.99</f>
        <v>4749.7200000000012</v>
      </c>
      <c r="H12" s="43">
        <v>0</v>
      </c>
      <c r="I12" s="4"/>
    </row>
    <row r="13" spans="1:9" x14ac:dyDescent="0.25">
      <c r="A13" s="8" t="s">
        <v>102</v>
      </c>
      <c r="B13" s="21"/>
      <c r="C13" s="21"/>
      <c r="D13" s="21"/>
      <c r="E13" s="4"/>
      <c r="F13" s="21"/>
      <c r="G13" s="4"/>
      <c r="H13" s="43"/>
      <c r="I13" s="4"/>
    </row>
    <row r="14" spans="1:9" x14ac:dyDescent="0.25">
      <c r="A14" s="1" t="s">
        <v>89</v>
      </c>
      <c r="B14" s="21">
        <v>0</v>
      </c>
      <c r="C14" s="21">
        <v>5300</v>
      </c>
      <c r="D14" s="21">
        <v>0</v>
      </c>
      <c r="E14" s="4">
        <v>5000</v>
      </c>
      <c r="F14" s="21">
        <v>0</v>
      </c>
      <c r="G14" s="4">
        <f>41+6300</f>
        <v>6341</v>
      </c>
      <c r="H14" s="43">
        <v>0</v>
      </c>
      <c r="I14" s="4"/>
    </row>
    <row r="15" spans="1:9" x14ac:dyDescent="0.25">
      <c r="A15" s="1" t="s">
        <v>97</v>
      </c>
      <c r="B15" s="21"/>
      <c r="C15" s="21"/>
      <c r="D15" s="21"/>
      <c r="E15" s="4"/>
      <c r="F15" s="21">
        <v>500</v>
      </c>
      <c r="G15" s="4">
        <f>318.64</f>
        <v>318.64</v>
      </c>
      <c r="H15" s="43">
        <v>0</v>
      </c>
      <c r="I15" s="4"/>
    </row>
    <row r="16" spans="1:9" x14ac:dyDescent="0.25">
      <c r="A16" s="1" t="s">
        <v>103</v>
      </c>
      <c r="B16" s="21">
        <v>8000</v>
      </c>
      <c r="C16" s="21">
        <v>8245.19</v>
      </c>
      <c r="D16" s="21">
        <v>8000</v>
      </c>
      <c r="E16" s="4">
        <f>765.33+879.02+2257.04+2534.54+1518.29</f>
        <v>7954.22</v>
      </c>
      <c r="F16" s="21">
        <v>8000</v>
      </c>
      <c r="G16" s="4">
        <f>7449.48+16.99+196.1+60+40</f>
        <v>7762.57</v>
      </c>
      <c r="H16" s="43">
        <v>8000</v>
      </c>
      <c r="I16" s="4"/>
    </row>
    <row r="17" spans="1:9" x14ac:dyDescent="0.25">
      <c r="A17" s="29" t="s">
        <v>104</v>
      </c>
      <c r="B17" s="31">
        <v>45000</v>
      </c>
      <c r="C17" s="31">
        <v>53248.78</v>
      </c>
      <c r="D17" s="31">
        <v>45000</v>
      </c>
      <c r="E17" s="30">
        <f>150+75+55+150+4658.03+1350+140+50+250+250+6098.79+955+430+570+525+25+3246.26+875+150+300+245+2310+725+12611.86+9828.04+50+2643.76+141+290+50</f>
        <v>49197.740000000005</v>
      </c>
      <c r="F17" s="31">
        <v>44000</v>
      </c>
      <c r="G17" s="30">
        <f>300+400+200+900+1842.49+1114.84+625.09+72.52+1716.56+145.86+900+765.58+1163.7+159.61+916.08+606.27+363.52+1429.52+217.87+460.32+800+1042.62+1105.44+266.72+291.75+1241.07+242.45+72.93+500+823.84+2181.43+203.61+200+436.35+218.8+538+629.94+289.35+1888.64+411.47+250+860.87+447.33+8397.48+581.69+208.46+2105+400+2415+675.35+600+267.44+7575+200</f>
        <v>52667.86</v>
      </c>
      <c r="H17" s="45">
        <v>48000</v>
      </c>
      <c r="I17" s="30"/>
    </row>
    <row r="18" spans="1:9" x14ac:dyDescent="0.25">
      <c r="A18" s="29" t="s">
        <v>105</v>
      </c>
      <c r="B18" s="31"/>
      <c r="C18" s="31"/>
      <c r="D18" s="31">
        <v>0</v>
      </c>
      <c r="E18" s="30">
        <f>2097.5+540.4</f>
        <v>2637.9</v>
      </c>
      <c r="F18" s="31">
        <v>2500</v>
      </c>
      <c r="G18" s="30">
        <f>627.8+323.9</f>
        <v>951.69999999999993</v>
      </c>
      <c r="H18" s="45">
        <v>1000</v>
      </c>
      <c r="I18" s="30"/>
    </row>
    <row r="19" spans="1:9" x14ac:dyDescent="0.25">
      <c r="A19" s="32" t="s">
        <v>101</v>
      </c>
      <c r="B19" s="34">
        <f>SUM(B14:B18)</f>
        <v>53000</v>
      </c>
      <c r="C19" s="34">
        <f t="shared" ref="C19:E19" si="2">SUM(C14:C18)</f>
        <v>66793.97</v>
      </c>
      <c r="D19" s="34">
        <f t="shared" si="2"/>
        <v>53000</v>
      </c>
      <c r="E19" s="34">
        <f t="shared" si="2"/>
        <v>64789.860000000008</v>
      </c>
      <c r="F19" s="34">
        <f>SUM(F14:F18)</f>
        <v>55000</v>
      </c>
      <c r="G19" s="34">
        <f>SUM(G14:G18)</f>
        <v>68041.77</v>
      </c>
      <c r="H19" s="46">
        <f>SUM(H14:H18)</f>
        <v>57000</v>
      </c>
      <c r="I19" s="34">
        <f>SUM(I14:I18)</f>
        <v>0</v>
      </c>
    </row>
    <row r="20" spans="1:9" x14ac:dyDescent="0.25">
      <c r="A20" s="1" t="s">
        <v>3</v>
      </c>
      <c r="B20" s="21">
        <v>1500</v>
      </c>
      <c r="C20" s="21">
        <v>1876</v>
      </c>
      <c r="D20" s="21">
        <v>1750</v>
      </c>
      <c r="E20" s="4">
        <f>1390+301.01+195+50+10</f>
        <v>1946.01</v>
      </c>
      <c r="F20" s="21">
        <v>1750</v>
      </c>
      <c r="G20" s="4">
        <f>9.72+170+370+60+491.06+40+110+143.25+620+19.12+19.12+4.55</f>
        <v>2056.8200000000002</v>
      </c>
      <c r="H20" s="43">
        <v>1750</v>
      </c>
      <c r="I20" s="4"/>
    </row>
    <row r="21" spans="1:9" x14ac:dyDescent="0.25">
      <c r="A21" s="29" t="s">
        <v>49</v>
      </c>
      <c r="B21" s="31">
        <v>500</v>
      </c>
      <c r="C21" s="31">
        <v>1121</v>
      </c>
      <c r="D21" s="31">
        <v>500</v>
      </c>
      <c r="E21" s="30">
        <f>83+85+207.08+22+18+40+10</f>
        <v>465.08000000000004</v>
      </c>
      <c r="F21" s="31">
        <v>0</v>
      </c>
      <c r="G21" s="30">
        <f>60+105+95+40+138+27+10+40+13</f>
        <v>528</v>
      </c>
      <c r="H21" s="45">
        <v>0</v>
      </c>
      <c r="I21" s="30"/>
    </row>
    <row r="22" spans="1:9" x14ac:dyDescent="0.25">
      <c r="A22" s="29" t="s">
        <v>98</v>
      </c>
      <c r="B22" s="31">
        <v>0</v>
      </c>
      <c r="C22" s="31">
        <v>835</v>
      </c>
      <c r="D22" s="31">
        <v>0</v>
      </c>
      <c r="E22" s="30">
        <v>590</v>
      </c>
      <c r="F22" s="31">
        <v>0</v>
      </c>
      <c r="G22" s="30">
        <f>1793+30</f>
        <v>1823</v>
      </c>
      <c r="H22" s="45">
        <v>0</v>
      </c>
      <c r="I22" s="30"/>
    </row>
    <row r="23" spans="1:9" x14ac:dyDescent="0.25">
      <c r="A23" s="29" t="s">
        <v>99</v>
      </c>
      <c r="B23" s="31">
        <v>400</v>
      </c>
      <c r="C23" s="31">
        <v>745</v>
      </c>
      <c r="D23" s="31">
        <v>700</v>
      </c>
      <c r="E23" s="30">
        <v>0</v>
      </c>
      <c r="F23" s="31">
        <v>0</v>
      </c>
      <c r="G23" s="30">
        <v>0</v>
      </c>
      <c r="H23" s="45">
        <v>0</v>
      </c>
      <c r="I23" s="30"/>
    </row>
    <row r="24" spans="1:9" x14ac:dyDescent="0.25">
      <c r="A24" s="29" t="s">
        <v>100</v>
      </c>
      <c r="B24" s="31">
        <v>1300</v>
      </c>
      <c r="C24" s="31">
        <v>1404</v>
      </c>
      <c r="D24" s="31">
        <v>0</v>
      </c>
      <c r="E24" s="30">
        <f>574</f>
        <v>574</v>
      </c>
      <c r="F24" s="31">
        <v>0</v>
      </c>
      <c r="G24" s="30">
        <v>0</v>
      </c>
      <c r="H24" s="45">
        <v>0</v>
      </c>
      <c r="I24" s="30"/>
    </row>
    <row r="25" spans="1:9" x14ac:dyDescent="0.25">
      <c r="A25" s="8"/>
      <c r="B25" s="21"/>
      <c r="C25" s="21"/>
      <c r="D25" s="21"/>
      <c r="E25" s="4"/>
      <c r="F25" s="21"/>
      <c r="G25" s="4"/>
      <c r="H25" s="43"/>
      <c r="I25" s="4"/>
    </row>
    <row r="26" spans="1:9" x14ac:dyDescent="0.25">
      <c r="A26" s="9" t="s">
        <v>42</v>
      </c>
      <c r="B26" s="27">
        <f>SUM(B10:B24)-B19</f>
        <v>109712.98999999999</v>
      </c>
      <c r="C26" s="27">
        <f t="shared" ref="C26:E26" si="3">SUM(C10:C24)-C19</f>
        <v>116720.70000000001</v>
      </c>
      <c r="D26" s="27">
        <f t="shared" si="3"/>
        <v>98119.239999999991</v>
      </c>
      <c r="E26" s="27">
        <f t="shared" si="3"/>
        <v>99458.25999999998</v>
      </c>
      <c r="F26" s="27">
        <f>SUM(F10:F24)-F19</f>
        <v>84750.91</v>
      </c>
      <c r="G26" s="27">
        <f>SUM(G10:G24)-G19</f>
        <v>105354.78000000001</v>
      </c>
      <c r="H26" s="44">
        <f>SUM(H10:H24)-H19</f>
        <v>85250.72</v>
      </c>
      <c r="I26" s="22">
        <f>SUM(I11:I24)-I19</f>
        <v>0</v>
      </c>
    </row>
    <row r="27" spans="1:9" ht="12.75" customHeight="1" x14ac:dyDescent="0.25">
      <c r="A27" s="1"/>
      <c r="B27" s="19" t="s">
        <v>37</v>
      </c>
      <c r="C27" s="19" t="s">
        <v>37</v>
      </c>
      <c r="D27" s="19" t="s">
        <v>37</v>
      </c>
      <c r="E27" s="2" t="s">
        <v>12</v>
      </c>
      <c r="F27" s="19" t="s">
        <v>37</v>
      </c>
      <c r="G27" s="2" t="s">
        <v>12</v>
      </c>
      <c r="H27" s="41" t="s">
        <v>37</v>
      </c>
      <c r="I27" s="2" t="s">
        <v>12</v>
      </c>
    </row>
    <row r="28" spans="1:9" ht="12.75" customHeight="1" x14ac:dyDescent="0.25">
      <c r="A28" s="1"/>
      <c r="B28" s="19" t="s">
        <v>36</v>
      </c>
      <c r="C28" s="19" t="s">
        <v>36</v>
      </c>
      <c r="D28" s="19" t="s">
        <v>36</v>
      </c>
      <c r="E28" s="2" t="s">
        <v>13</v>
      </c>
      <c r="F28" s="19" t="s">
        <v>36</v>
      </c>
      <c r="G28" s="2" t="s">
        <v>13</v>
      </c>
      <c r="H28" s="41" t="s">
        <v>36</v>
      </c>
      <c r="I28" s="2" t="s">
        <v>13</v>
      </c>
    </row>
    <row r="29" spans="1:9" ht="12.75" customHeight="1" x14ac:dyDescent="0.25">
      <c r="A29" s="1"/>
      <c r="B29" s="19" t="s">
        <v>70</v>
      </c>
      <c r="C29" s="19" t="s">
        <v>70</v>
      </c>
      <c r="D29" s="19" t="s">
        <v>93</v>
      </c>
      <c r="E29" s="2" t="s">
        <v>93</v>
      </c>
      <c r="F29" s="19" t="s">
        <v>115</v>
      </c>
      <c r="G29" s="2" t="s">
        <v>115</v>
      </c>
      <c r="H29" s="41" t="s">
        <v>116</v>
      </c>
      <c r="I29" s="2" t="s">
        <v>116</v>
      </c>
    </row>
    <row r="30" spans="1:9" ht="12.75" customHeight="1" x14ac:dyDescent="0.25">
      <c r="A30" s="54" t="s">
        <v>25</v>
      </c>
      <c r="B30" s="21"/>
      <c r="C30" s="21"/>
      <c r="D30" s="21"/>
      <c r="E30" s="4"/>
      <c r="F30" s="21"/>
      <c r="G30" s="4"/>
      <c r="H30" s="43"/>
      <c r="I30" s="4"/>
    </row>
    <row r="31" spans="1:9" ht="12.75" customHeight="1" x14ac:dyDescent="0.25">
      <c r="A31" s="1" t="s">
        <v>18</v>
      </c>
      <c r="B31" s="21">
        <v>350</v>
      </c>
      <c r="C31" s="21">
        <v>714.95</v>
      </c>
      <c r="D31" s="21">
        <v>725</v>
      </c>
      <c r="E31" s="4">
        <f>149.22+34.74+34.74+34.74+34.74+42.24+35.99+36.7+73.62+51.47-13-13</f>
        <v>502.20000000000005</v>
      </c>
      <c r="F31" s="21">
        <v>725</v>
      </c>
      <c r="G31" s="4">
        <f>34.74+34.74+34.74+15+192.72</f>
        <v>311.94</v>
      </c>
      <c r="H31" s="43">
        <v>0</v>
      </c>
      <c r="I31" s="4"/>
    </row>
    <row r="32" spans="1:9" ht="12.75" customHeight="1" x14ac:dyDescent="0.25">
      <c r="A32" s="1" t="s">
        <v>1</v>
      </c>
      <c r="B32" s="21">
        <v>500</v>
      </c>
      <c r="C32" s="21">
        <v>500</v>
      </c>
      <c r="D32" s="21">
        <v>500</v>
      </c>
      <c r="E32" s="4">
        <v>500</v>
      </c>
      <c r="F32" s="21">
        <v>500</v>
      </c>
      <c r="G32" s="4">
        <f>500</f>
        <v>500</v>
      </c>
      <c r="H32" s="43">
        <v>500</v>
      </c>
      <c r="I32" s="4"/>
    </row>
    <row r="33" spans="1:9" ht="12.75" customHeight="1" x14ac:dyDescent="0.25">
      <c r="A33" s="29" t="s">
        <v>64</v>
      </c>
      <c r="B33" s="31">
        <v>10000</v>
      </c>
      <c r="C33" s="31">
        <v>5914.5</v>
      </c>
      <c r="D33" s="31">
        <v>10000</v>
      </c>
      <c r="E33" s="30">
        <f>500+575+950+420-210+1675+3612.5+1600</f>
        <v>9122.5</v>
      </c>
      <c r="F33" s="31">
        <v>10000</v>
      </c>
      <c r="G33" s="30">
        <f>537.5+875+1750+1350+800+750-400+1050</f>
        <v>6712.5</v>
      </c>
      <c r="H33" s="45">
        <v>10000</v>
      </c>
      <c r="I33" s="30"/>
    </row>
    <row r="34" spans="1:9" ht="12.75" customHeight="1" x14ac:dyDescent="0.25">
      <c r="A34" s="29" t="s">
        <v>63</v>
      </c>
      <c r="B34" s="31">
        <v>1297</v>
      </c>
      <c r="C34" s="31"/>
      <c r="D34" s="31">
        <v>1593.5</v>
      </c>
      <c r="E34" s="30">
        <f>751.5+852</f>
        <v>1603.5</v>
      </c>
      <c r="F34" s="31">
        <f>325+362.5</f>
        <v>687.5</v>
      </c>
      <c r="G34" s="30">
        <v>687.5</v>
      </c>
      <c r="H34" s="45">
        <v>0</v>
      </c>
      <c r="I34" s="30"/>
    </row>
    <row r="35" spans="1:9" ht="12.75" customHeight="1" x14ac:dyDescent="0.25">
      <c r="A35" s="1" t="s">
        <v>11</v>
      </c>
      <c r="B35" s="21">
        <v>60</v>
      </c>
      <c r="C35" s="21"/>
      <c r="D35" s="21">
        <v>60</v>
      </c>
      <c r="E35" s="4">
        <v>60</v>
      </c>
      <c r="F35" s="21">
        <v>60</v>
      </c>
      <c r="G35" s="4">
        <v>60</v>
      </c>
      <c r="H35" s="43">
        <v>60</v>
      </c>
      <c r="I35" s="4"/>
    </row>
    <row r="36" spans="1:9" ht="12.75" customHeight="1" x14ac:dyDescent="0.25">
      <c r="A36" s="1" t="s">
        <v>43</v>
      </c>
      <c r="B36" s="21">
        <v>2000</v>
      </c>
      <c r="C36" s="21"/>
      <c r="D36" s="21">
        <v>2000</v>
      </c>
      <c r="E36" s="4">
        <v>0</v>
      </c>
      <c r="F36" s="21">
        <v>1000</v>
      </c>
      <c r="G36" s="4">
        <f>987.68</f>
        <v>987.68</v>
      </c>
      <c r="H36" s="43">
        <v>1000</v>
      </c>
      <c r="I36" s="4"/>
    </row>
    <row r="37" spans="1:9" ht="12.75" customHeight="1" x14ac:dyDescent="0.25">
      <c r="A37" s="1" t="s">
        <v>91</v>
      </c>
      <c r="B37" s="21">
        <v>1000</v>
      </c>
      <c r="C37" s="21"/>
      <c r="D37" s="21">
        <v>100</v>
      </c>
      <c r="E37" s="4">
        <f>151.26+391.7</f>
        <v>542.96</v>
      </c>
      <c r="F37" s="21">
        <v>400</v>
      </c>
      <c r="G37" s="4">
        <f>82.86+124.76</f>
        <v>207.62</v>
      </c>
      <c r="H37" s="43">
        <v>400</v>
      </c>
      <c r="I37" s="4"/>
    </row>
    <row r="38" spans="1:9" ht="12.75" customHeight="1" x14ac:dyDescent="0.25">
      <c r="A38" s="8" t="s">
        <v>20</v>
      </c>
      <c r="B38" s="21"/>
      <c r="C38" s="21"/>
      <c r="D38" s="21"/>
      <c r="E38" s="4"/>
      <c r="F38" s="21"/>
      <c r="G38" s="4"/>
      <c r="H38" s="43"/>
      <c r="I38" s="4"/>
    </row>
    <row r="39" spans="1:9" ht="12.75" customHeight="1" x14ac:dyDescent="0.25">
      <c r="A39" s="1" t="s">
        <v>88</v>
      </c>
      <c r="B39" s="21">
        <v>500</v>
      </c>
      <c r="C39" s="21">
        <v>50</v>
      </c>
      <c r="D39" s="21">
        <v>300</v>
      </c>
      <c r="E39" s="4">
        <v>0</v>
      </c>
      <c r="F39" s="21">
        <v>0</v>
      </c>
      <c r="G39" s="4">
        <f>16.59</f>
        <v>16.59</v>
      </c>
      <c r="H39" s="43">
        <v>50</v>
      </c>
      <c r="I39" s="4"/>
    </row>
    <row r="40" spans="1:9" ht="12.75" customHeight="1" x14ac:dyDescent="0.25">
      <c r="A40" s="1" t="s">
        <v>27</v>
      </c>
      <c r="B40" s="21">
        <v>8000</v>
      </c>
      <c r="C40" s="21">
        <v>8236.85</v>
      </c>
      <c r="D40" s="21">
        <v>8000</v>
      </c>
      <c r="E40" s="4">
        <f>202+7760.13</f>
        <v>7962.13</v>
      </c>
      <c r="F40" s="21">
        <v>8000</v>
      </c>
      <c r="G40" s="4">
        <f>7613.15+45.26+195.39</f>
        <v>7853.8</v>
      </c>
      <c r="H40" s="43">
        <v>8000</v>
      </c>
      <c r="I40" s="4"/>
    </row>
    <row r="41" spans="1:9" ht="12.75" customHeight="1" x14ac:dyDescent="0.25">
      <c r="A41" s="1" t="s">
        <v>106</v>
      </c>
      <c r="B41" s="21"/>
      <c r="C41" s="21"/>
      <c r="D41" s="21">
        <v>0</v>
      </c>
      <c r="E41" s="4">
        <f>31.57+86.2+62.99+50</f>
        <v>230.76000000000002</v>
      </c>
      <c r="F41" s="21">
        <v>250</v>
      </c>
      <c r="G41" s="4">
        <v>0</v>
      </c>
      <c r="H41" s="43">
        <v>250</v>
      </c>
      <c r="I41" s="4"/>
    </row>
    <row r="42" spans="1:9" ht="12.75" customHeight="1" x14ac:dyDescent="0.25">
      <c r="A42" s="1" t="s">
        <v>107</v>
      </c>
      <c r="B42" s="21">
        <v>20000</v>
      </c>
      <c r="C42" s="21">
        <v>18202.830000000002</v>
      </c>
      <c r="D42" s="21">
        <v>18000</v>
      </c>
      <c r="E42" s="4">
        <f>2500+93.9+244.58+235+235+27.41+180+245+20+20+103.96+295.03+73.97+7687.5+249+180.86+522.64+3397.5+15+14.16+31.52+1031.57+183.2+3397.5+165+253.59+901.62</f>
        <v>22304.510000000002</v>
      </c>
      <c r="F42" s="21">
        <v>17000</v>
      </c>
      <c r="G42" s="4">
        <f>500+20+20+120+120+36.81+176.07+45.23+103.9+61.5+153.3+257.02+4000+12920+25.2+33.19+805.2+345</f>
        <v>19742.420000000002</v>
      </c>
      <c r="H42" s="43">
        <v>20000</v>
      </c>
      <c r="I42" s="4"/>
    </row>
    <row r="43" spans="1:9" ht="12.75" customHeight="1" x14ac:dyDescent="0.25">
      <c r="A43" s="1" t="s">
        <v>110</v>
      </c>
      <c r="B43" s="21"/>
      <c r="C43" s="21"/>
      <c r="D43" s="21"/>
      <c r="E43" s="4"/>
      <c r="F43" s="21">
        <f>345+150+406.01</f>
        <v>901.01</v>
      </c>
      <c r="G43" s="4">
        <f>345+150+406.01</f>
        <v>901.01</v>
      </c>
      <c r="H43" s="43">
        <v>0</v>
      </c>
      <c r="I43" s="4"/>
    </row>
    <row r="44" spans="1:9" ht="12.75" customHeight="1" x14ac:dyDescent="0.25">
      <c r="A44" s="1" t="s">
        <v>108</v>
      </c>
      <c r="B44" s="21">
        <v>400</v>
      </c>
      <c r="C44" s="21">
        <v>478</v>
      </c>
      <c r="D44" s="21">
        <v>500</v>
      </c>
      <c r="E44" s="4">
        <v>0</v>
      </c>
      <c r="F44" s="21">
        <v>300</v>
      </c>
      <c r="G44" s="4">
        <v>0</v>
      </c>
      <c r="H44" s="43">
        <v>0</v>
      </c>
      <c r="I44" s="4"/>
    </row>
    <row r="45" spans="1:9" ht="12.75" customHeight="1" x14ac:dyDescent="0.25">
      <c r="A45" s="1" t="s">
        <v>75</v>
      </c>
      <c r="B45" s="21">
        <v>1300</v>
      </c>
      <c r="C45" s="21">
        <v>1660.58</v>
      </c>
      <c r="D45" s="21">
        <v>0</v>
      </c>
      <c r="E45" s="4">
        <v>574</v>
      </c>
      <c r="F45" s="21">
        <v>0</v>
      </c>
      <c r="G45" s="4">
        <v>0</v>
      </c>
      <c r="H45" s="43">
        <v>0</v>
      </c>
      <c r="I45" s="4"/>
    </row>
    <row r="46" spans="1:9" ht="12.75" customHeight="1" x14ac:dyDescent="0.25">
      <c r="A46" s="6" t="s">
        <v>31</v>
      </c>
      <c r="B46" s="22">
        <f t="shared" ref="B46:G46" si="4">SUM(B39:B45)</f>
        <v>30200</v>
      </c>
      <c r="C46" s="22">
        <f t="shared" si="4"/>
        <v>28628.260000000002</v>
      </c>
      <c r="D46" s="22">
        <f t="shared" si="4"/>
        <v>26800</v>
      </c>
      <c r="E46" s="22">
        <f t="shared" si="4"/>
        <v>31071.4</v>
      </c>
      <c r="F46" s="22">
        <f t="shared" si="4"/>
        <v>26451.01</v>
      </c>
      <c r="G46" s="22">
        <f t="shared" si="4"/>
        <v>28513.82</v>
      </c>
      <c r="H46" s="44">
        <f t="shared" ref="H46:I46" si="5">SUM(H39:H45)</f>
        <v>28300</v>
      </c>
      <c r="I46" s="22">
        <f t="shared" si="5"/>
        <v>0</v>
      </c>
    </row>
    <row r="47" spans="1:9" ht="12.75" customHeight="1" x14ac:dyDescent="0.25">
      <c r="A47" s="6"/>
      <c r="B47" s="22"/>
      <c r="C47" s="22"/>
      <c r="D47" s="22"/>
      <c r="E47" s="22"/>
      <c r="F47" s="22"/>
      <c r="G47" s="22"/>
      <c r="H47" s="44"/>
      <c r="I47" s="22"/>
    </row>
    <row r="48" spans="1:9" ht="12.75" customHeight="1" x14ac:dyDescent="0.25">
      <c r="A48" s="1" t="s">
        <v>61</v>
      </c>
      <c r="B48" s="21">
        <v>250</v>
      </c>
      <c r="C48" s="21">
        <v>179.98</v>
      </c>
      <c r="D48" s="21">
        <v>250</v>
      </c>
      <c r="E48" s="4">
        <f>50+75+50</f>
        <v>175</v>
      </c>
      <c r="F48" s="21">
        <v>250</v>
      </c>
      <c r="G48" s="4">
        <f>110+75+105.95+105.95+55.95+100+15.11</f>
        <v>567.95999999999992</v>
      </c>
      <c r="H48" s="43">
        <v>250</v>
      </c>
      <c r="I48" s="4"/>
    </row>
    <row r="49" spans="1:10" ht="12.75" customHeight="1" x14ac:dyDescent="0.25">
      <c r="A49" s="1" t="s">
        <v>38</v>
      </c>
      <c r="B49" s="21">
        <v>1500</v>
      </c>
      <c r="C49" s="21">
        <v>993.53</v>
      </c>
      <c r="D49" s="21">
        <v>1500</v>
      </c>
      <c r="E49" s="4">
        <v>1500</v>
      </c>
      <c r="F49" s="21">
        <v>1000</v>
      </c>
      <c r="G49" s="4">
        <v>980.23</v>
      </c>
      <c r="H49" s="43">
        <v>1000</v>
      </c>
      <c r="I49" s="4"/>
    </row>
    <row r="50" spans="1:10" ht="12.75" customHeight="1" x14ac:dyDescent="0.25">
      <c r="A50" s="1" t="s">
        <v>26</v>
      </c>
      <c r="B50" s="21">
        <v>400</v>
      </c>
      <c r="C50" s="21">
        <v>225</v>
      </c>
      <c r="D50" s="21">
        <v>300</v>
      </c>
      <c r="E50" s="4">
        <f>200</f>
        <v>200</v>
      </c>
      <c r="F50" s="21">
        <v>200</v>
      </c>
      <c r="G50" s="4">
        <v>200</v>
      </c>
      <c r="H50" s="43">
        <v>200</v>
      </c>
      <c r="I50" s="4"/>
    </row>
    <row r="51" spans="1:10" ht="12.75" customHeight="1" x14ac:dyDescent="0.25">
      <c r="A51" s="29" t="s">
        <v>111</v>
      </c>
      <c r="B51" s="31">
        <v>8000</v>
      </c>
      <c r="C51" s="31">
        <v>6992.8</v>
      </c>
      <c r="D51" s="31">
        <v>8000</v>
      </c>
      <c r="E51" s="30">
        <f>283.31+487.77-37.8+149.69+69.9+80.04+72.84+53.43+223.92+305.59+264.76+144.18+122.76+244+270.2+240.2+40.99</f>
        <v>3015.7799999999997</v>
      </c>
      <c r="F51" s="31">
        <v>5000</v>
      </c>
      <c r="G51" s="30">
        <f>100.77+263.2+344.75+8*(297.5)+429.99+591</f>
        <v>4109.71</v>
      </c>
      <c r="H51" s="45">
        <v>5000</v>
      </c>
      <c r="I51" s="30"/>
    </row>
    <row r="52" spans="1:10" ht="12.75" customHeight="1" x14ac:dyDescent="0.25">
      <c r="A52" s="1" t="s">
        <v>112</v>
      </c>
      <c r="B52" s="21">
        <v>0</v>
      </c>
      <c r="C52" s="21">
        <v>370</v>
      </c>
      <c r="D52" s="21">
        <v>1240</v>
      </c>
      <c r="E52" s="4">
        <f>356.5+1240-356.5</f>
        <v>1240</v>
      </c>
      <c r="F52" s="21">
        <v>500</v>
      </c>
      <c r="G52" s="4">
        <f>485</f>
        <v>485</v>
      </c>
      <c r="H52" s="43">
        <v>591</v>
      </c>
      <c r="I52" s="4"/>
      <c r="J52" s="69"/>
    </row>
    <row r="53" spans="1:10" ht="12.75" customHeight="1" x14ac:dyDescent="0.25">
      <c r="A53" s="1" t="s">
        <v>10</v>
      </c>
      <c r="B53" s="21">
        <v>500</v>
      </c>
      <c r="C53" s="21">
        <v>337.54</v>
      </c>
      <c r="D53" s="21">
        <v>500</v>
      </c>
      <c r="E53" s="4">
        <f>280</f>
        <v>280</v>
      </c>
      <c r="F53" s="21">
        <v>400</v>
      </c>
      <c r="G53" s="4">
        <f>300</f>
        <v>300</v>
      </c>
      <c r="H53" s="43">
        <v>400</v>
      </c>
      <c r="I53" s="4"/>
    </row>
    <row r="54" spans="1:10" ht="12.75" customHeight="1" x14ac:dyDescent="0.25">
      <c r="A54" s="1" t="s">
        <v>48</v>
      </c>
      <c r="B54" s="21">
        <v>100</v>
      </c>
      <c r="C54" s="21">
        <v>100</v>
      </c>
      <c r="D54" s="21">
        <v>100</v>
      </c>
      <c r="E54" s="4">
        <f>20+20</f>
        <v>40</v>
      </c>
      <c r="F54" s="21">
        <v>100</v>
      </c>
      <c r="G54" s="4">
        <v>100</v>
      </c>
      <c r="H54" s="43">
        <v>100</v>
      </c>
      <c r="I54" s="4"/>
    </row>
    <row r="55" spans="1:10" ht="12.75" customHeight="1" x14ac:dyDescent="0.25">
      <c r="A55" s="1" t="s">
        <v>23</v>
      </c>
      <c r="B55" s="21">
        <v>500</v>
      </c>
      <c r="C55" s="21">
        <v>536.35</v>
      </c>
      <c r="D55" s="21">
        <v>600</v>
      </c>
      <c r="E55" s="4">
        <f>89.01+134.34+107.96+141.25+60.84+96+350+82.87</f>
        <v>1062.27</v>
      </c>
      <c r="F55" s="21">
        <v>600</v>
      </c>
      <c r="G55" s="4">
        <f>54.43+30.94+54.22+83.43+46.9</f>
        <v>269.92</v>
      </c>
      <c r="H55" s="43">
        <v>500</v>
      </c>
      <c r="I55" s="4"/>
    </row>
    <row r="56" spans="1:10" ht="12.75" customHeight="1" x14ac:dyDescent="0.25">
      <c r="A56" s="1" t="s">
        <v>60</v>
      </c>
      <c r="B56" s="21">
        <v>200</v>
      </c>
      <c r="C56" s="21">
        <v>1392.43</v>
      </c>
      <c r="D56" s="21">
        <v>200</v>
      </c>
      <c r="E56" s="4">
        <f>8.5</f>
        <v>8.5</v>
      </c>
      <c r="F56" s="21">
        <v>200</v>
      </c>
      <c r="G56" s="4">
        <f>169.44+40</f>
        <v>209.44</v>
      </c>
      <c r="H56" s="43">
        <v>200</v>
      </c>
      <c r="I56" s="4"/>
    </row>
    <row r="57" spans="1:10" ht="12.75" customHeight="1" x14ac:dyDescent="0.25">
      <c r="A57" s="1" t="s">
        <v>5</v>
      </c>
      <c r="B57" s="21">
        <v>500</v>
      </c>
      <c r="C57" s="21">
        <v>413.72</v>
      </c>
      <c r="D57" s="21">
        <v>500</v>
      </c>
      <c r="E57" s="4">
        <f>96.1+18.63+29.98+9.8+56.8+106.86</f>
        <v>318.17</v>
      </c>
      <c r="F57" s="21">
        <v>400</v>
      </c>
      <c r="G57" s="4">
        <f>9.8+9.8+200.05+10+36.28+10</f>
        <v>275.93</v>
      </c>
      <c r="H57" s="43">
        <v>400</v>
      </c>
      <c r="I57" s="4"/>
    </row>
    <row r="58" spans="1:10" ht="12.75" customHeight="1" x14ac:dyDescent="0.25">
      <c r="A58" s="8" t="s">
        <v>28</v>
      </c>
      <c r="B58" s="21"/>
      <c r="C58" s="21"/>
      <c r="D58" s="21"/>
      <c r="E58" s="4"/>
      <c r="F58" s="21"/>
      <c r="G58" s="4"/>
      <c r="H58" s="43"/>
      <c r="I58" s="4"/>
    </row>
    <row r="59" spans="1:10" ht="12.75" customHeight="1" x14ac:dyDescent="0.25">
      <c r="A59" s="1" t="s">
        <v>35</v>
      </c>
      <c r="B59" s="21">
        <v>8500</v>
      </c>
      <c r="C59" s="21">
        <v>6520</v>
      </c>
      <c r="D59" s="21">
        <v>8500</v>
      </c>
      <c r="E59" s="4">
        <f>541.8+500+1500+1550+1150+3314.5-2700-180+2000+335</f>
        <v>8011.2999999999993</v>
      </c>
      <c r="F59" s="21">
        <v>8500</v>
      </c>
      <c r="G59" s="4">
        <f>2600+921.5+75+320+812.5+450+812.5+1200+450+248.16+960</f>
        <v>8849.66</v>
      </c>
      <c r="H59" s="43">
        <v>8500</v>
      </c>
      <c r="I59" s="4"/>
    </row>
    <row r="60" spans="1:10" ht="12.75" customHeight="1" x14ac:dyDescent="0.25">
      <c r="A60" s="1" t="s">
        <v>117</v>
      </c>
      <c r="B60" s="21">
        <v>4000</v>
      </c>
      <c r="C60" s="21">
        <v>3750</v>
      </c>
      <c r="D60" s="21">
        <v>4000</v>
      </c>
      <c r="E60" s="4">
        <f>2500+406.35+948.14</f>
        <v>3854.49</v>
      </c>
      <c r="F60" s="21">
        <v>4000</v>
      </c>
      <c r="G60" s="4">
        <f>1600+825+600</f>
        <v>3025</v>
      </c>
      <c r="H60" s="43">
        <v>0</v>
      </c>
      <c r="I60" s="4"/>
    </row>
    <row r="61" spans="1:10" ht="12.75" customHeight="1" x14ac:dyDescent="0.25">
      <c r="A61" s="1" t="s">
        <v>76</v>
      </c>
      <c r="B61" s="21">
        <v>4000</v>
      </c>
      <c r="C61" s="21">
        <v>4000</v>
      </c>
      <c r="D61" s="21">
        <v>4000</v>
      </c>
      <c r="E61" s="4">
        <v>4000</v>
      </c>
      <c r="F61" s="21">
        <v>0</v>
      </c>
      <c r="G61" s="4">
        <v>0</v>
      </c>
      <c r="H61" s="43">
        <v>0</v>
      </c>
      <c r="I61" s="4"/>
    </row>
    <row r="62" spans="1:10" ht="12.75" customHeight="1" x14ac:dyDescent="0.25">
      <c r="A62" s="55" t="s">
        <v>109</v>
      </c>
      <c r="B62" s="21">
        <v>6800</v>
      </c>
      <c r="C62" s="21">
        <v>6686</v>
      </c>
      <c r="D62" s="21">
        <v>6800</v>
      </c>
      <c r="E62" s="4">
        <f>302.29+101.4+400+493+150+1274+100+40.3+475+335+42.3+650+103.12+96.15+550+430+180</f>
        <v>5722.56</v>
      </c>
      <c r="F62" s="21">
        <v>8000</v>
      </c>
      <c r="G62" s="4">
        <f>150+400+39.84+320+86.4+63.92+16+1188+119.31+895+150+19.84+291.96-895+235.92+525+642+150+500+1250+750+280+180+430+209</f>
        <v>7997.1900000000005</v>
      </c>
      <c r="H62" s="43">
        <v>12000</v>
      </c>
      <c r="I62" s="4"/>
    </row>
    <row r="63" spans="1:10" ht="12.75" customHeight="1" x14ac:dyDescent="0.25">
      <c r="A63" s="55" t="s">
        <v>80</v>
      </c>
      <c r="B63" s="21"/>
      <c r="C63" s="21"/>
      <c r="D63" s="21">
        <v>0</v>
      </c>
      <c r="E63" s="4">
        <v>0</v>
      </c>
      <c r="F63" s="21">
        <v>450</v>
      </c>
      <c r="G63" s="4">
        <v>0</v>
      </c>
      <c r="H63" s="43">
        <v>280</v>
      </c>
      <c r="I63" s="4"/>
      <c r="J63" s="69"/>
    </row>
    <row r="64" spans="1:10" ht="12.75" customHeight="1" x14ac:dyDescent="0.25">
      <c r="A64" s="6" t="s">
        <v>2</v>
      </c>
      <c r="B64" s="22">
        <f t="shared" ref="B64:I64" si="6">SUM(B59:B63)</f>
        <v>23300</v>
      </c>
      <c r="C64" s="22">
        <f t="shared" si="6"/>
        <v>20956</v>
      </c>
      <c r="D64" s="22">
        <f t="shared" si="6"/>
        <v>23300</v>
      </c>
      <c r="E64" s="22">
        <f t="shared" si="6"/>
        <v>21588.35</v>
      </c>
      <c r="F64" s="22">
        <f t="shared" si="6"/>
        <v>20950</v>
      </c>
      <c r="G64" s="22">
        <f t="shared" si="6"/>
        <v>19871.849999999999</v>
      </c>
      <c r="H64" s="44">
        <f t="shared" si="6"/>
        <v>20780</v>
      </c>
      <c r="I64" s="22">
        <f t="shared" si="6"/>
        <v>0</v>
      </c>
    </row>
    <row r="65" spans="1:9" ht="12.75" customHeight="1" x14ac:dyDescent="0.25">
      <c r="A65" s="8" t="s">
        <v>0</v>
      </c>
      <c r="B65" s="21"/>
      <c r="C65" s="21"/>
      <c r="D65" s="21"/>
      <c r="E65" s="4"/>
      <c r="F65" s="21"/>
      <c r="G65" s="4"/>
      <c r="H65" s="43"/>
      <c r="I65" s="4"/>
    </row>
    <row r="66" spans="1:9" ht="12.75" customHeight="1" x14ac:dyDescent="0.25">
      <c r="A66" s="1" t="s">
        <v>24</v>
      </c>
      <c r="B66" s="21">
        <v>700</v>
      </c>
      <c r="C66" s="21">
        <v>1450.34</v>
      </c>
      <c r="D66" s="21">
        <v>700</v>
      </c>
      <c r="E66" s="4">
        <f>100+820</f>
        <v>920</v>
      </c>
      <c r="F66" s="21">
        <v>700</v>
      </c>
      <c r="G66" s="4">
        <f>55.2+22.63+40.97+525+75.78</f>
        <v>719.57999999999993</v>
      </c>
      <c r="H66" s="43">
        <v>700</v>
      </c>
      <c r="I66" s="4"/>
    </row>
    <row r="67" spans="1:9" ht="12.75" customHeight="1" x14ac:dyDescent="0.25">
      <c r="A67" s="56" t="s">
        <v>69</v>
      </c>
      <c r="B67" s="31">
        <v>200</v>
      </c>
      <c r="C67" s="31">
        <v>200</v>
      </c>
      <c r="D67" s="31">
        <v>0</v>
      </c>
      <c r="E67" s="30">
        <v>0</v>
      </c>
      <c r="F67" s="31">
        <v>0</v>
      </c>
      <c r="G67" s="30">
        <v>0</v>
      </c>
      <c r="H67" s="45">
        <v>0</v>
      </c>
      <c r="I67" s="30"/>
    </row>
    <row r="68" spans="1:9" ht="12.75" customHeight="1" x14ac:dyDescent="0.25">
      <c r="A68" s="1" t="s">
        <v>59</v>
      </c>
      <c r="B68" s="21">
        <v>100</v>
      </c>
      <c r="C68" s="21"/>
      <c r="D68" s="21">
        <v>0</v>
      </c>
      <c r="E68" s="4">
        <v>0</v>
      </c>
      <c r="F68" s="21">
        <v>0</v>
      </c>
      <c r="G68" s="4">
        <v>0</v>
      </c>
      <c r="H68" s="43">
        <v>0</v>
      </c>
      <c r="I68" s="4"/>
    </row>
    <row r="69" spans="1:9" ht="12.75" customHeight="1" x14ac:dyDescent="0.25">
      <c r="A69" s="57" t="s">
        <v>65</v>
      </c>
      <c r="B69" s="21">
        <v>1400</v>
      </c>
      <c r="C69" s="21">
        <v>987.49</v>
      </c>
      <c r="D69" s="21">
        <v>1100</v>
      </c>
      <c r="E69" s="4">
        <f>1000+35+94.11</f>
        <v>1129.1099999999999</v>
      </c>
      <c r="F69" s="21">
        <v>1100</v>
      </c>
      <c r="G69" s="4">
        <f>900+112+43.18</f>
        <v>1055.18</v>
      </c>
      <c r="H69" s="43">
        <v>1200</v>
      </c>
      <c r="I69" s="4"/>
    </row>
    <row r="70" spans="1:9" ht="12.75" customHeight="1" x14ac:dyDescent="0.25">
      <c r="A70" s="1" t="s">
        <v>29</v>
      </c>
      <c r="B70" s="21">
        <v>300</v>
      </c>
      <c r="C70" s="21">
        <v>243.19</v>
      </c>
      <c r="D70" s="21">
        <v>300</v>
      </c>
      <c r="E70" s="4">
        <f>89.92+32.97+50.85+51.97</f>
        <v>225.71</v>
      </c>
      <c r="F70" s="21">
        <v>300</v>
      </c>
      <c r="G70" s="4">
        <f>159.37</f>
        <v>159.37</v>
      </c>
      <c r="H70" s="43">
        <v>300</v>
      </c>
      <c r="I70" s="4"/>
    </row>
    <row r="71" spans="1:9" ht="12.75" customHeight="1" x14ac:dyDescent="0.25">
      <c r="A71" s="1" t="s">
        <v>7</v>
      </c>
      <c r="B71" s="21">
        <v>400</v>
      </c>
      <c r="C71" s="21">
        <v>105.9</v>
      </c>
      <c r="D71" s="21">
        <v>250</v>
      </c>
      <c r="E71" s="4">
        <v>0</v>
      </c>
      <c r="F71" s="21">
        <v>250</v>
      </c>
      <c r="G71" s="4">
        <v>0</v>
      </c>
      <c r="H71" s="43">
        <v>250</v>
      </c>
      <c r="I71" s="4"/>
    </row>
    <row r="72" spans="1:9" ht="12.75" customHeight="1" x14ac:dyDescent="0.25">
      <c r="A72" s="1" t="s">
        <v>90</v>
      </c>
      <c r="B72" s="21">
        <v>900</v>
      </c>
      <c r="C72" s="21">
        <v>690.38</v>
      </c>
      <c r="D72" s="21">
        <v>900</v>
      </c>
      <c r="E72" s="4">
        <f>111.5+764.2</f>
        <v>875.7</v>
      </c>
      <c r="F72" s="21">
        <v>900</v>
      </c>
      <c r="G72" s="4">
        <f>195.9+946.95</f>
        <v>1142.8500000000001</v>
      </c>
      <c r="H72" s="43">
        <v>1000</v>
      </c>
      <c r="I72" s="4"/>
    </row>
    <row r="73" spans="1:9" ht="12.75" customHeight="1" x14ac:dyDescent="0.25">
      <c r="A73" s="6" t="s">
        <v>9</v>
      </c>
      <c r="B73" s="22">
        <f t="shared" ref="B73:G73" si="7">SUM(B66:B72)</f>
        <v>4000</v>
      </c>
      <c r="C73" s="22">
        <f t="shared" si="7"/>
        <v>3677.3</v>
      </c>
      <c r="D73" s="22">
        <f t="shared" si="7"/>
        <v>3250</v>
      </c>
      <c r="E73" s="22">
        <f t="shared" si="7"/>
        <v>3150.5199999999995</v>
      </c>
      <c r="F73" s="22">
        <f t="shared" si="7"/>
        <v>3250</v>
      </c>
      <c r="G73" s="22">
        <f t="shared" si="7"/>
        <v>3076.9800000000005</v>
      </c>
      <c r="H73" s="44">
        <f>SUM(H66:H72)</f>
        <v>3450</v>
      </c>
      <c r="I73" s="22">
        <f>SUM(I66:I72)</f>
        <v>0</v>
      </c>
    </row>
    <row r="74" spans="1:9" ht="12.75" customHeight="1" x14ac:dyDescent="0.25">
      <c r="A74" s="1" t="s">
        <v>57</v>
      </c>
      <c r="B74" s="21">
        <v>24088.99</v>
      </c>
      <c r="C74" s="21">
        <v>17220</v>
      </c>
      <c r="D74" s="21">
        <v>15600.74</v>
      </c>
      <c r="E74" s="4">
        <f>1900+1054.49+117.34+79.99+156.2+530+36.81+300+40+530+1298.5+609.5+1298.5</f>
        <v>7951.33</v>
      </c>
      <c r="F74" s="21">
        <f>1627.96+3742.1+3357.2+350.14</f>
        <v>9077.3999999999978</v>
      </c>
      <c r="G74" s="4">
        <f>1627.96+3357.2+3652.1+27.79+301.67</f>
        <v>8966.7200000000012</v>
      </c>
      <c r="H74" s="43">
        <v>9494.7199999999993</v>
      </c>
      <c r="I74" s="4"/>
    </row>
    <row r="75" spans="1:9" ht="12.75" customHeight="1" x14ac:dyDescent="0.25">
      <c r="A75" s="1" t="s">
        <v>95</v>
      </c>
      <c r="B75" s="21"/>
      <c r="C75" s="21"/>
      <c r="D75" s="21"/>
      <c r="E75" s="4">
        <f>500+600</f>
        <v>1100</v>
      </c>
      <c r="F75" s="21">
        <v>2500</v>
      </c>
      <c r="G75" s="4">
        <f>1200+650+24</f>
        <v>1874</v>
      </c>
      <c r="H75" s="43">
        <v>2500</v>
      </c>
      <c r="I75" s="4"/>
    </row>
    <row r="76" spans="1:9" ht="12.75" customHeight="1" x14ac:dyDescent="0.25">
      <c r="A76" s="1" t="s">
        <v>56</v>
      </c>
      <c r="B76" s="21">
        <v>0</v>
      </c>
      <c r="C76" s="21"/>
      <c r="D76" s="21">
        <v>0</v>
      </c>
      <c r="E76" s="4">
        <v>0</v>
      </c>
      <c r="F76" s="21">
        <v>0</v>
      </c>
      <c r="G76" s="4">
        <f>37.97+38+193</f>
        <v>268.97000000000003</v>
      </c>
      <c r="H76" s="43">
        <v>125</v>
      </c>
      <c r="I76" s="4"/>
    </row>
    <row r="77" spans="1:9" ht="12.75" customHeight="1" x14ac:dyDescent="0.25">
      <c r="A77" s="1" t="s">
        <v>92</v>
      </c>
      <c r="B77" s="21"/>
      <c r="C77" s="21"/>
      <c r="D77" s="21">
        <v>1000</v>
      </c>
      <c r="E77" s="4">
        <v>254.92</v>
      </c>
      <c r="F77" s="21">
        <v>500</v>
      </c>
      <c r="G77" s="4">
        <f>187.29</f>
        <v>187.29</v>
      </c>
      <c r="H77" s="43">
        <v>0</v>
      </c>
      <c r="I77" s="4"/>
    </row>
    <row r="78" spans="1:9" x14ac:dyDescent="0.25">
      <c r="A78" s="8"/>
      <c r="B78" s="21"/>
      <c r="C78" s="21"/>
      <c r="D78" s="21"/>
      <c r="E78" s="4"/>
      <c r="F78" s="21"/>
      <c r="G78" s="4"/>
      <c r="H78" s="43"/>
      <c r="I78" s="4"/>
    </row>
    <row r="79" spans="1:9" ht="12.75" customHeight="1" x14ac:dyDescent="0.25">
      <c r="A79" s="58" t="s">
        <v>46</v>
      </c>
      <c r="B79" s="27">
        <f>((SUM(B31:B76)-B64)-B73)-B46</f>
        <v>108745.98999999999</v>
      </c>
      <c r="C79" s="27">
        <f>((SUM(C31:C76)-C64)-C73)-C46</f>
        <v>89152.360000000015</v>
      </c>
      <c r="D79" s="27">
        <f>((SUM(D31:D77)-D64)-D73)-D46</f>
        <v>98119.239999999991</v>
      </c>
      <c r="E79" s="27">
        <f>((SUM(E31:E76)-E64)-E73)-E46</f>
        <v>85032.479999999981</v>
      </c>
      <c r="F79" s="22">
        <f>((SUM(F31:F77)-F64)-F73)-F46</f>
        <v>84750.910000000018</v>
      </c>
      <c r="G79" s="22">
        <f>((SUM(G31:G77)-G64)-G73)-G46</f>
        <v>79725.060000000027</v>
      </c>
      <c r="H79" s="44">
        <f>((SUM(H31:H77)-H64)-H73)-H46</f>
        <v>85250.72</v>
      </c>
      <c r="I79" s="22">
        <f>((SUM(I31:I77)-I64)-I73)-I46</f>
        <v>0</v>
      </c>
    </row>
    <row r="80" spans="1:9" ht="12.75" customHeight="1" x14ac:dyDescent="0.25">
      <c r="D80" s="52"/>
      <c r="E80" s="61"/>
      <c r="F80" s="52"/>
      <c r="G80" s="61"/>
      <c r="H80" s="62"/>
      <c r="I80" s="61"/>
    </row>
    <row r="82" spans="1:9" s="53" customFormat="1" ht="12.75" customHeight="1" x14ac:dyDescent="0.25">
      <c r="A82" s="53" t="s">
        <v>94</v>
      </c>
      <c r="B82" s="59">
        <v>43281</v>
      </c>
      <c r="F82" s="53" t="s">
        <v>113</v>
      </c>
      <c r="G82" s="63">
        <f>G10+G26-G79</f>
        <v>53630.629999999976</v>
      </c>
      <c r="H82" s="60" t="s">
        <v>113</v>
      </c>
      <c r="I82" s="63">
        <f>I10+I26-I79</f>
        <v>25629.72</v>
      </c>
    </row>
    <row r="83" spans="1:9" ht="12.75" customHeight="1" x14ac:dyDescent="0.25">
      <c r="G83" s="64">
        <f>25380.16+249.56</f>
        <v>25629.72</v>
      </c>
      <c r="I83" s="64">
        <f>25380.16+249.56</f>
        <v>25629.72</v>
      </c>
    </row>
    <row r="84" spans="1:9" ht="12.75" customHeight="1" thickBot="1" x14ac:dyDescent="0.3">
      <c r="G84" s="65">
        <f>G82-G83</f>
        <v>28000.909999999974</v>
      </c>
      <c r="I84" s="65">
        <f>I82-I83</f>
        <v>0</v>
      </c>
    </row>
    <row r="85" spans="1:9" ht="12.75" customHeight="1" thickTop="1" x14ac:dyDescent="0.25">
      <c r="E85" s="67"/>
      <c r="G85" s="66"/>
      <c r="I85" s="66"/>
    </row>
    <row r="86" spans="1:9" x14ac:dyDescent="0.25">
      <c r="G86" s="66"/>
      <c r="I86" s="66"/>
    </row>
  </sheetData>
  <mergeCells count="1">
    <mergeCell ref="A1:D1"/>
  </mergeCells>
  <pageMargins left="0.2" right="0.2" top="0.25" bottom="0.25" header="0.3" footer="0.3"/>
  <pageSetup scale="9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 2016 Budget</vt:lpstr>
      <vt:lpstr>2018 2019 Budget</vt:lpstr>
      <vt:lpstr>'2015 2016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Govan</dc:creator>
  <cp:lastModifiedBy>Cindy Melendez</cp:lastModifiedBy>
  <cp:lastPrinted>2018-07-18T13:23:15Z</cp:lastPrinted>
  <dcterms:created xsi:type="dcterms:W3CDTF">2012-04-21T16:25:14Z</dcterms:created>
  <dcterms:modified xsi:type="dcterms:W3CDTF">2019-06-02T16:06:51Z</dcterms:modified>
</cp:coreProperties>
</file>