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9-2020\Budget\"/>
    </mc:Choice>
  </mc:AlternateContent>
  <xr:revisionPtr revIDLastSave="0" documentId="8_{B79E4801-5F19-40DF-8FA7-71B0C82D023D}" xr6:coauthVersionLast="43" xr6:coauthVersionMax="43" xr10:uidLastSave="{00000000-0000-0000-0000-000000000000}"/>
  <bookViews>
    <workbookView xWindow="-108" yWindow="-108" windowWidth="16608" windowHeight="8856" xr2:uid="{BABC86C1-0EF2-4D87-BBCC-D4114FBFA2D8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9" i="1" l="1"/>
  <c r="F79" i="1"/>
  <c r="D79" i="1"/>
  <c r="C79" i="1"/>
  <c r="B79" i="1"/>
  <c r="G78" i="1"/>
  <c r="G77" i="1"/>
  <c r="G76" i="1"/>
  <c r="E76" i="1"/>
  <c r="G75" i="1"/>
  <c r="G79" i="1" s="1"/>
  <c r="F75" i="1"/>
  <c r="E75" i="1"/>
  <c r="E79" i="1" s="1"/>
  <c r="H74" i="1"/>
  <c r="F74" i="1"/>
  <c r="D74" i="1"/>
  <c r="C74" i="1"/>
  <c r="B74" i="1"/>
  <c r="G73" i="1"/>
  <c r="E73" i="1"/>
  <c r="G71" i="1"/>
  <c r="E71" i="1"/>
  <c r="G70" i="1"/>
  <c r="E70" i="1"/>
  <c r="G68" i="1"/>
  <c r="G74" i="1" s="1"/>
  <c r="E68" i="1"/>
  <c r="E74" i="1" s="1"/>
  <c r="H66" i="1"/>
  <c r="F66" i="1"/>
  <c r="D66" i="1"/>
  <c r="C66" i="1"/>
  <c r="B66" i="1"/>
  <c r="G64" i="1"/>
  <c r="E64" i="1"/>
  <c r="E66" i="1" s="1"/>
  <c r="G62" i="1"/>
  <c r="E62" i="1"/>
  <c r="G61" i="1"/>
  <c r="G66" i="1" s="1"/>
  <c r="E61" i="1"/>
  <c r="H60" i="1"/>
  <c r="F60" i="1"/>
  <c r="D60" i="1"/>
  <c r="C60" i="1"/>
  <c r="B60" i="1"/>
  <c r="G59" i="1"/>
  <c r="E59" i="1"/>
  <c r="G58" i="1"/>
  <c r="E58" i="1"/>
  <c r="G57" i="1"/>
  <c r="E57" i="1"/>
  <c r="E56" i="1"/>
  <c r="G55" i="1"/>
  <c r="E55" i="1"/>
  <c r="G54" i="1"/>
  <c r="E54" i="1"/>
  <c r="G53" i="1"/>
  <c r="E53" i="1"/>
  <c r="E52" i="1"/>
  <c r="G50" i="1"/>
  <c r="E50" i="1"/>
  <c r="E60" i="1" s="1"/>
  <c r="H49" i="1"/>
  <c r="D49" i="1"/>
  <c r="C49" i="1"/>
  <c r="C80" i="1" s="1"/>
  <c r="B49" i="1"/>
  <c r="G47" i="1"/>
  <c r="F47" i="1"/>
  <c r="F49" i="1" s="1"/>
  <c r="G46" i="1"/>
  <c r="G49" i="1" s="1"/>
  <c r="E46" i="1"/>
  <c r="E45" i="1"/>
  <c r="E49" i="1" s="1"/>
  <c r="G44" i="1"/>
  <c r="E44" i="1"/>
  <c r="G42" i="1"/>
  <c r="H40" i="1"/>
  <c r="F40" i="1"/>
  <c r="F80" i="1" s="1"/>
  <c r="D40" i="1"/>
  <c r="C40" i="1"/>
  <c r="B40" i="1"/>
  <c r="G39" i="1"/>
  <c r="E39" i="1"/>
  <c r="G38" i="1"/>
  <c r="F36" i="1"/>
  <c r="E36" i="1"/>
  <c r="G35" i="1"/>
  <c r="E35" i="1"/>
  <c r="G34" i="1"/>
  <c r="G33" i="1"/>
  <c r="E33" i="1"/>
  <c r="E40" i="1" s="1"/>
  <c r="H27" i="1"/>
  <c r="F27" i="1"/>
  <c r="D27" i="1"/>
  <c r="C27" i="1"/>
  <c r="B27" i="1"/>
  <c r="E26" i="1"/>
  <c r="G24" i="1"/>
  <c r="G23" i="1"/>
  <c r="E23" i="1"/>
  <c r="G22" i="1"/>
  <c r="G27" i="1" s="1"/>
  <c r="E22" i="1"/>
  <c r="H21" i="1"/>
  <c r="H28" i="1" s="1"/>
  <c r="F21" i="1"/>
  <c r="F28" i="1" s="1"/>
  <c r="E21" i="1"/>
  <c r="E28" i="1" s="1"/>
  <c r="D21" i="1"/>
  <c r="D28" i="1" s="1"/>
  <c r="C21" i="1"/>
  <c r="C28" i="1" s="1"/>
  <c r="B21" i="1"/>
  <c r="B28" i="1" s="1"/>
  <c r="G20" i="1"/>
  <c r="E20" i="1"/>
  <c r="G19" i="1"/>
  <c r="E19" i="1"/>
  <c r="G18" i="1"/>
  <c r="E18" i="1"/>
  <c r="G17" i="1"/>
  <c r="G21" i="1" s="1"/>
  <c r="G28" i="1" s="1"/>
  <c r="G16" i="1"/>
  <c r="G13" i="1"/>
  <c r="E13" i="1"/>
  <c r="G12" i="1"/>
  <c r="E12" i="1"/>
  <c r="J11" i="1"/>
  <c r="H11" i="1"/>
  <c r="G11" i="1"/>
  <c r="D11" i="1"/>
  <c r="C11" i="1"/>
  <c r="B11" i="1"/>
  <c r="F10" i="1"/>
  <c r="F11" i="1" s="1"/>
  <c r="E10" i="1"/>
  <c r="E11" i="1" s="1"/>
  <c r="E80" i="1" l="1"/>
  <c r="E27" i="1"/>
  <c r="G40" i="1"/>
  <c r="B80" i="1"/>
  <c r="D80" i="1"/>
  <c r="H80" i="1"/>
  <c r="G60" i="1"/>
  <c r="G80" i="1" l="1"/>
  <c r="J69" i="1"/>
  <c r="J15" i="1"/>
  <c r="J44" i="1" l="1"/>
  <c r="J75" i="1" l="1"/>
  <c r="J39" i="1"/>
  <c r="J53" i="1" l="1"/>
  <c r="J13" i="1"/>
  <c r="J16" i="1"/>
  <c r="J17" i="1"/>
  <c r="J20" i="1"/>
  <c r="J25" i="1"/>
  <c r="J33" i="1"/>
  <c r="J36" i="1"/>
  <c r="J45" i="1"/>
  <c r="J48" i="1"/>
  <c r="J51" i="1"/>
  <c r="J54" i="1"/>
  <c r="J56" i="1"/>
  <c r="J63" i="1"/>
  <c r="J68" i="1"/>
  <c r="J77" i="1"/>
  <c r="J61" i="1"/>
  <c r="J71" i="1"/>
  <c r="J12" i="1"/>
  <c r="J18" i="1"/>
  <c r="J24" i="1"/>
  <c r="J26" i="1"/>
  <c r="J34" i="1"/>
  <c r="J38" i="1"/>
  <c r="J42" i="1"/>
  <c r="J47" i="1"/>
  <c r="J50" i="1"/>
  <c r="J52" i="1"/>
  <c r="J55" i="1"/>
  <c r="J57" i="1"/>
  <c r="J62" i="1"/>
  <c r="J65" i="1"/>
  <c r="J73" i="1"/>
  <c r="J76" i="1"/>
  <c r="J79" i="1" s="1"/>
  <c r="J78" i="1"/>
  <c r="J37" i="1"/>
  <c r="J58" i="1"/>
  <c r="J70" i="1"/>
  <c r="J72" i="1"/>
  <c r="I12" i="1" l="1"/>
  <c r="I26" i="1"/>
  <c r="I33" i="1"/>
  <c r="I37" i="1"/>
  <c r="J22" i="1"/>
  <c r="J23" i="1"/>
  <c r="I8" i="1"/>
  <c r="I9" i="1"/>
  <c r="I20" i="1"/>
  <c r="I23" i="1"/>
  <c r="I24" i="1"/>
  <c r="I25" i="1"/>
  <c r="I34" i="1"/>
  <c r="I35" i="1"/>
  <c r="I36" i="1"/>
  <c r="I38" i="1"/>
  <c r="I39" i="1"/>
  <c r="I47" i="1"/>
  <c r="I48" i="1"/>
  <c r="I58" i="1"/>
  <c r="I77" i="1"/>
  <c r="I78" i="1"/>
  <c r="I10" i="1"/>
  <c r="I17" i="1"/>
  <c r="I42" i="1"/>
  <c r="I44" i="1"/>
  <c r="I45" i="1"/>
  <c r="I50" i="1"/>
  <c r="I51" i="1"/>
  <c r="I52" i="1"/>
  <c r="I53" i="1"/>
  <c r="I54" i="1"/>
  <c r="I55" i="1"/>
  <c r="I56" i="1"/>
  <c r="I57" i="1"/>
  <c r="I63" i="1"/>
  <c r="I68" i="1"/>
  <c r="I69" i="1"/>
  <c r="I70" i="1"/>
  <c r="I71" i="1"/>
  <c r="I72" i="1"/>
  <c r="I73" i="1"/>
  <c r="I76" i="1"/>
  <c r="J35" i="1"/>
  <c r="J40" i="1" s="1"/>
  <c r="J74" i="1"/>
  <c r="J21" i="1"/>
  <c r="J28" i="1" s="1"/>
  <c r="J19" i="1"/>
  <c r="I16" i="1"/>
  <c r="I75" i="1"/>
  <c r="I79" i="1" s="1"/>
  <c r="I59" i="1"/>
  <c r="J46" i="1" l="1"/>
  <c r="J49" i="1" s="1"/>
  <c r="J80" i="1" s="1"/>
  <c r="J64" i="1"/>
  <c r="J66" i="1" s="1"/>
  <c r="I60" i="1"/>
  <c r="I40" i="1"/>
  <c r="I61" i="1"/>
  <c r="I18" i="1"/>
  <c r="I21" i="1" s="1"/>
  <c r="I28" i="1" s="1"/>
  <c r="I46" i="1"/>
  <c r="I22" i="1"/>
  <c r="I27" i="1" s="1"/>
  <c r="I13" i="1"/>
  <c r="J59" i="1"/>
  <c r="J60" i="1" s="1"/>
  <c r="I74" i="1"/>
  <c r="I64" i="1"/>
  <c r="I49" i="1"/>
  <c r="I19" i="1"/>
  <c r="I11" i="1"/>
  <c r="J27" i="1"/>
  <c r="I66" i="1" l="1"/>
  <c r="I8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joep</author>
    <author>Dave Govan</author>
  </authors>
  <commentList>
    <comment ref="C8" authorId="0" shapeId="0" xr:uid="{2B8A19FF-F61F-4B3C-A48F-D35C8BE0B765}">
      <text>
        <r>
          <rPr>
            <b/>
            <sz val="9"/>
            <color indexed="81"/>
            <rFont val="Tahoma"/>
            <family val="2"/>
          </rPr>
          <t>Laura Govan:</t>
        </r>
        <r>
          <rPr>
            <sz val="9"/>
            <color indexed="81"/>
            <rFont val="Tahoma"/>
            <family val="2"/>
          </rPr>
          <t xml:space="preserve">
9/15/15 $50,845.09
10/13/15 $57,357.73
11/10/15 $35,064.92
12/1/15 $38,357.83
1/12/15 $32,628.97 *$32,128.97 less $500 pass thru for Helping Hands Hanratty Family.
3/7/16 $23,124.17
4/12/16 $47,543.24
5/9/16 $54,760.09
5/25/16 $52,930.60
6/8/16 $49,676.74
6/29/16 $43,205.61
6/30/16 $42,385.73
</t>
        </r>
      </text>
    </comment>
    <comment ref="C9" authorId="0" shapeId="0" xr:uid="{4006A67C-FBE2-4BE5-98D7-425228A006B5}">
      <text>
        <r>
          <rPr>
            <b/>
            <sz val="9"/>
            <color indexed="81"/>
            <rFont val="Tahoma"/>
            <family val="2"/>
          </rPr>
          <t>Laura Govan:</t>
        </r>
        <r>
          <rPr>
            <sz val="9"/>
            <color indexed="81"/>
            <rFont val="Tahoma"/>
            <family val="2"/>
          </rPr>
          <t xml:space="preserve">
9/2015 $93.81 balance
2/22/16 transfer $200 into account, balance $293.81
2/24/16 ck#117 $180.00 Bernardsville Print Center.
3/1/15 ck#118 $31.03 Anna Spitaleri
4/7/16 deposit $1,715
4/8/16 deposit $430
4/11/16 deposit $1,605
6/21/15 ck#123 $20 Legalized Games of Chance.</t>
        </r>
      </text>
    </comment>
    <comment ref="E9" authorId="0" shapeId="0" xr:uid="{F84FFF74-05D2-45DF-81D5-0CEFF93296B6}">
      <text>
        <r>
          <rPr>
            <b/>
            <sz val="9"/>
            <color indexed="81"/>
            <rFont val="Tahoma"/>
            <family val="2"/>
          </rPr>
          <t xml:space="preserve">Mimi: </t>
        </r>
        <r>
          <rPr>
            <sz val="9"/>
            <color indexed="81"/>
            <rFont val="Tahoma"/>
            <family val="2"/>
          </rPr>
          <t>Beg. Bal $80. 2/6/17 Transfer $300 into acct.</t>
        </r>
      </text>
    </comment>
    <comment ref="B10" authorId="0" shapeId="0" xr:uid="{9DA0DCD0-60CE-4C15-8962-3C295FFC5CDA}">
      <text>
        <r>
          <rPr>
            <b/>
            <sz val="9"/>
            <color indexed="81"/>
            <rFont val="Tahoma"/>
            <family val="2"/>
          </rPr>
          <t xml:space="preserve">Laura Govan:
</t>
        </r>
        <r>
          <rPr>
            <sz val="9"/>
            <color indexed="81"/>
            <rFont val="Tahoma"/>
            <family val="2"/>
          </rPr>
          <t xml:space="preserve">3/4/15 ck#2530 $370
6/24/15 ck#2575 $20
6/29/15 ck#2578 $1000
</t>
        </r>
      </text>
    </comment>
    <comment ref="E10" authorId="0" shapeId="0" xr:uid="{A03FEA1F-7740-4886-91FC-556331901F3C}">
      <text>
        <r>
          <rPr>
            <b/>
            <sz val="9"/>
            <color indexed="81"/>
            <rFont val="Tahoma"/>
            <family val="2"/>
          </rPr>
          <t xml:space="preserve">Mimi: </t>
        </r>
        <r>
          <rPr>
            <sz val="9"/>
            <color indexed="81"/>
            <rFont val="Tahoma"/>
            <family val="2"/>
          </rPr>
          <t>$50.66 Stacey Remick, Graduation Reception. $245.83 Paul Matinho, Graduation Reception</t>
        </r>
      </text>
    </comment>
    <comment ref="F10" authorId="0" shapeId="0" xr:uid="{E37EDEE1-3292-4345-B50D-7E1AC30AF1D4}">
      <text>
        <r>
          <rPr>
            <b/>
            <sz val="9"/>
            <color indexed="81"/>
            <rFont val="Tahoma"/>
            <family val="2"/>
          </rPr>
          <t xml:space="preserve">Mimi: </t>
        </r>
        <r>
          <rPr>
            <sz val="9"/>
            <color indexed="81"/>
            <rFont val="Tahoma"/>
            <family val="2"/>
          </rPr>
          <t>Ck#2792 $103.12, Ck#2795 $40, Ck#2802 $42.30, Ck#2809 $217.59</t>
        </r>
      </text>
    </comment>
    <comment ref="H10" authorId="0" shapeId="0" xr:uid="{1EC26745-8BB6-49E3-8CAA-F9525C5E4DED}">
      <text>
        <r>
          <rPr>
            <b/>
            <sz val="9"/>
            <color indexed="81"/>
            <rFont val="Tahoma"/>
            <family val="2"/>
          </rPr>
          <t xml:space="preserve">Mimi: </t>
        </r>
        <r>
          <rPr>
            <sz val="9"/>
            <color indexed="81"/>
            <rFont val="Tahoma"/>
            <family val="2"/>
          </rPr>
          <t>GLP; Ck# 1093 $280 Turtle Tunnels. CG; Ck#1106 $591 Book Bins.</t>
        </r>
      </text>
    </comment>
    <comment ref="I10" authorId="0" shapeId="0" xr:uid="{0AFA3465-F513-492E-A29A-7D88B7E5044F}">
      <text>
        <r>
          <rPr>
            <b/>
            <sz val="9"/>
            <color indexed="81"/>
            <rFont val="Tahoma"/>
            <family val="2"/>
          </rPr>
          <t xml:space="preserve">Mimi: </t>
        </r>
        <r>
          <rPr>
            <sz val="9"/>
            <color indexed="81"/>
            <rFont val="Tahoma"/>
            <family val="2"/>
          </rPr>
          <t>GLP; Ck# 1093 $280 Turtle Tunnels. CG; Ck#1106 $591 Book Bins.</t>
        </r>
      </text>
    </comment>
    <comment ref="J10" authorId="0" shapeId="0" xr:uid="{E0A54CE2-BF1D-401E-AB4A-935139CFF64F}">
      <text>
        <r>
          <rPr>
            <b/>
            <sz val="9"/>
            <color indexed="81"/>
            <rFont val="Tahoma"/>
            <family val="2"/>
          </rPr>
          <t xml:space="preserve">Mimi: </t>
        </r>
        <r>
          <rPr>
            <sz val="9"/>
            <color indexed="81"/>
            <rFont val="Tahoma"/>
            <family val="2"/>
          </rPr>
          <t>GLP; Ck# 1093 $280 Turtle Tunnels. CG; Ck#1106 $591 Book Bins.</t>
        </r>
      </text>
    </comment>
    <comment ref="C12" authorId="0" shapeId="0" xr:uid="{4FF2651C-FE8A-4382-B740-9BAF726459E6}">
      <text>
        <r>
          <rPr>
            <b/>
            <sz val="9"/>
            <color indexed="81"/>
            <rFont val="Tahoma"/>
            <family val="2"/>
          </rPr>
          <t>Laura Govan:</t>
        </r>
        <r>
          <rPr>
            <sz val="9"/>
            <color indexed="81"/>
            <rFont val="Tahoma"/>
            <family val="2"/>
          </rPr>
          <t xml:space="preserve">
12/21/15 deposit $500 for Helping Hands Donation.
6/3/16 $146 pass thru for books purchased for KRG (Grade Level Program) Author visit.
6/15/16 $497 &amp; $337 pass thru for Kenn Nesbitt book purchases.
</t>
        </r>
      </text>
    </comment>
    <comment ref="E12" authorId="0" shapeId="0" xr:uid="{4C10567F-5D33-41D3-8D8C-8E348EABCD8B}">
      <text>
        <r>
          <rPr>
            <b/>
            <sz val="9"/>
            <color indexed="81"/>
            <rFont val="Tahoma"/>
            <family val="2"/>
          </rPr>
          <t xml:space="preserve">Mimi: </t>
        </r>
        <r>
          <rPr>
            <sz val="9"/>
            <color indexed="81"/>
            <rFont val="Tahoma"/>
            <family val="2"/>
          </rPr>
          <t>10/29/16 deposit $700 from Class of 2016 to help pay for Score Boards. 4/21/17 $90.77 Bookwork, rebate from W.Mass book order. 4/21/17 $18.90 World Wear Project. 5/26/17 $593.21 Display My Art.</t>
        </r>
      </text>
    </comment>
    <comment ref="G12" authorId="0" shapeId="0" xr:uid="{73B9759A-577B-4E24-9765-85F2AB372D67}">
      <text>
        <r>
          <rPr>
            <b/>
            <sz val="9"/>
            <color indexed="81"/>
            <rFont val="Tahoma"/>
            <family val="2"/>
          </rPr>
          <t xml:space="preserve">Mimi: </t>
        </r>
        <r>
          <rPr>
            <sz val="9"/>
            <color indexed="81"/>
            <rFont val="Tahoma"/>
            <family val="2"/>
          </rPr>
          <t>$0.97 Square test. $799 Bookworm Book Orders rec'd. $14 BookWorm Book Orders rec'd.Ck#1026 $824.24 Bookworm Orders paid. Deposit $164.83 Bookworm Rebate.</t>
        </r>
      </text>
    </comment>
    <comment ref="C13" authorId="0" shapeId="0" xr:uid="{6E194BBD-1D93-4319-884C-215E848C2D51}">
      <text>
        <r>
          <rPr>
            <b/>
            <sz val="9"/>
            <color indexed="81"/>
            <rFont val="Tahoma"/>
            <family val="2"/>
          </rPr>
          <t>Laura Govan:</t>
        </r>
        <r>
          <rPr>
            <sz val="9"/>
            <color indexed="81"/>
            <rFont val="Tahoma"/>
            <family val="2"/>
          </rPr>
          <t xml:space="preserve">
6/3/16 $146 pass thru for books purchased for Kenn Nesbitt (Grade Level Program) Author visit.</t>
        </r>
      </text>
    </comment>
    <comment ref="E13" authorId="0" shapeId="0" xr:uid="{9377F4F6-A3EC-4345-A268-1B6EE0CD0526}">
      <text>
        <r>
          <rPr>
            <b/>
            <sz val="9"/>
            <color indexed="81"/>
            <rFont val="Tahoma"/>
            <family val="2"/>
          </rPr>
          <t>Mimi:</t>
        </r>
        <r>
          <rPr>
            <sz val="9"/>
            <color indexed="81"/>
            <rFont val="Tahoma"/>
            <family val="2"/>
          </rPr>
          <t xml:space="preserve"> 9/14/16 H. Wolkow Company donation, deposit $492.46. 9/20/16 Empower donation for water fountain grant deposit $144.68. 10/7/16 Network for Good deposit $100. 11/7/16 Benevity C.I.F donation $135.18. 2/6/17 RWJ Co. Match, J. Bussel $100. 2/6/17 B.C.I.F. Match, H. Wolkow $116.52. 2/6/17 AmazonSmile $50.74. ($144.68) Empower Grant transferred to BHS.4/21/17 BCIF $58.26 Wolkow. 5/4/17 $537.24 BCIF (Wolkow).5/11/17 $39.12 Amazon Smile. 6/29/17 $60 4th Grade Donation.</t>
        </r>
      </text>
    </comment>
    <comment ref="G13" authorId="0" shapeId="0" xr:uid="{911D1B57-9B61-477A-AA5E-1F1CF29AA9A8}">
      <text>
        <r>
          <rPr>
            <b/>
            <sz val="9"/>
            <color indexed="81"/>
            <rFont val="Tahoma"/>
            <family val="2"/>
          </rPr>
          <t xml:space="preserve">Mimi: </t>
        </r>
        <r>
          <rPr>
            <sz val="9"/>
            <color indexed="81"/>
            <rFont val="Tahoma"/>
            <family val="2"/>
          </rPr>
          <t>BCIF (H. Wolkow) $91.52. AmazonSmile $35.48. United Way (Ruzicka) $4,000. BCIF $97.10, $77.68, $77.68. AmazonSmile $30.29, $55.21, $39.99. $30 Screenagers donation. $116.80 India Hicks donation. $97.97 H.Wolkow donation.</t>
        </r>
      </text>
    </comment>
    <comment ref="C16" authorId="0" shapeId="0" xr:uid="{49685D8A-1711-4CD6-8F78-7483555FDD65}">
      <text>
        <r>
          <rPr>
            <b/>
            <sz val="9"/>
            <color indexed="81"/>
            <rFont val="Tahoma"/>
            <family val="2"/>
          </rPr>
          <t>Laura Govan:</t>
        </r>
        <r>
          <rPr>
            <sz val="9"/>
            <color indexed="81"/>
            <rFont val="Tahoma"/>
            <family val="2"/>
          </rPr>
          <t xml:space="preserve">
11/12/15 $5,300 Fall Fest Charities
</t>
        </r>
      </text>
    </comment>
    <comment ref="E16" authorId="0" shapeId="0" xr:uid="{872655E2-B931-4A13-9A61-0E3CA2639742}">
      <text>
        <r>
          <rPr>
            <b/>
            <sz val="9"/>
            <color indexed="81"/>
            <rFont val="Tahoma"/>
            <family val="2"/>
          </rPr>
          <t xml:space="preserve">Mimi: </t>
        </r>
        <r>
          <rPr>
            <sz val="9"/>
            <color indexed="81"/>
            <rFont val="Tahoma"/>
            <family val="2"/>
          </rPr>
          <t>2/8/17 $5000 Bedminster Charities Fall Fest</t>
        </r>
      </text>
    </comment>
    <comment ref="G16" authorId="0" shapeId="0" xr:uid="{89E4D0E6-AB57-41FE-BCE1-DD27E18AF779}">
      <text>
        <r>
          <rPr>
            <b/>
            <sz val="9"/>
            <color indexed="81"/>
            <rFont val="Tahoma"/>
            <family val="2"/>
          </rPr>
          <t xml:space="preserve">Mimi: </t>
        </r>
        <r>
          <rPr>
            <sz val="9"/>
            <color indexed="81"/>
            <rFont val="Tahoma"/>
            <family val="2"/>
          </rPr>
          <t>$41 Pumpkin Contest. $6,300 BCFF donation.</t>
        </r>
      </text>
    </comment>
    <comment ref="C18" authorId="0" shapeId="0" xr:uid="{990FAF74-FBCD-4812-B052-5506C0DDF78B}">
      <text>
        <r>
          <rPr>
            <b/>
            <sz val="9"/>
            <color indexed="81"/>
            <rFont val="Tahoma"/>
            <family val="2"/>
          </rPr>
          <t>Laura Govan:</t>
        </r>
        <r>
          <rPr>
            <sz val="9"/>
            <color indexed="81"/>
            <rFont val="Tahoma"/>
            <family val="2"/>
          </rPr>
          <t xml:space="preserve">
deposits 10/1/15 for $431.94, $1,260.57, $2,132.24
deposits 10/5/15 for $157.35, $1,639.23, $2,623.86</t>
        </r>
      </text>
    </comment>
    <comment ref="E18" authorId="0" shapeId="0" xr:uid="{22D46A71-62BD-4EB8-8014-522595BAC031}">
      <text>
        <r>
          <rPr>
            <b/>
            <sz val="9"/>
            <color indexed="81"/>
            <rFont val="Tahoma"/>
            <family val="2"/>
          </rPr>
          <t xml:space="preserve">Mimi: </t>
        </r>
        <r>
          <rPr>
            <sz val="9"/>
            <color indexed="81"/>
            <rFont val="Tahoma"/>
            <family val="2"/>
          </rPr>
          <t>Book Fair Sales, 9/19/16 deposit $765.33, 9/20/16 deposit $879.02, 9/21/16 deposit $2,257.04, 9/22/16 deposit $2,534.54, 9/26/16 deposit $1,518.29</t>
        </r>
      </text>
    </comment>
    <comment ref="G18" authorId="0" shapeId="0" xr:uid="{B25B840E-3640-40A2-B7FA-8419D6F4DE9F}">
      <text>
        <r>
          <rPr>
            <b/>
            <sz val="9"/>
            <color indexed="81"/>
            <rFont val="Tahoma"/>
            <family val="2"/>
          </rPr>
          <t xml:space="preserve">Mimi: </t>
        </r>
        <r>
          <rPr>
            <sz val="9"/>
            <color indexed="81"/>
            <rFont val="Tahoma"/>
            <family val="2"/>
          </rPr>
          <t>$7,449.48 sales, $16.99 sales. $196.10 Donations collected. $60 sales. $40 sales.</t>
        </r>
      </text>
    </comment>
    <comment ref="A19" authorId="0" shapeId="0" xr:uid="{6C59275B-6583-49E1-885C-192AA73D6E4F}">
      <text>
        <r>
          <rPr>
            <b/>
            <sz val="9"/>
            <color indexed="81"/>
            <rFont val="Tahoma"/>
            <family val="2"/>
          </rPr>
          <t>Mimi:</t>
        </r>
        <r>
          <rPr>
            <sz val="9"/>
            <color indexed="81"/>
            <rFont val="Tahoma"/>
            <family val="2"/>
          </rPr>
          <t xml:space="preserve"> 7/1/17 Changed name from 'Spring Fling' to Spring Fundraiser.</t>
        </r>
      </text>
    </comment>
    <comment ref="C19" authorId="0" shapeId="0" xr:uid="{B9976809-0C39-44C8-B285-45FCAAB42676}">
      <text>
        <r>
          <rPr>
            <b/>
            <sz val="9"/>
            <color indexed="81"/>
            <rFont val="Tahoma"/>
            <family val="2"/>
          </rPr>
          <t>Laura Govan:</t>
        </r>
        <r>
          <rPr>
            <sz val="9"/>
            <color indexed="81"/>
            <rFont val="Tahoma"/>
            <family val="2"/>
          </rPr>
          <t xml:space="preserve">
1/22/16 $750 Ad revenue Janjua.
2/2/16 $370 Ads (Air Service &amp; CX Ent.)
2/8/16 $400 Ads
2/17/17 $295 Ads
2/18/16 $55 Ads
2/24/16 $55 &amp; $$500 Ads
3/3/16 $950 Ads
3/11/16 $455 Ads
3/17/16 $6,429.95 Eventbrite deposit for online admissions
3/18/16 $1,375 Ads
3/18/16 $775 Ads
3/22/16 $205 Ads
3/22/16 $4,715 Admission checks
3/28/16 $400 Ads
3/30/16 $1,250 Ads
4/1/16 $375 Ads
4/4/16 $150 Ads
4/5/16 $5,548.87 Admissions Eventbrite deposit
4/6/16 $750 Ads PNC Merchant Deposit
4/8/16 $300 Cash Donation in lieu of attentance.
4/11/16 Cash Deposit $3,525 for Silent Auction.
4/11/16 Cash Deposit $1,780 for Night of baskets/iPad raffle.
4/11/16 deposit $300 for Advertising (Goldman &amp; Stevinson).
4/11/16 PNC Merchant Deposit for Credit Card purchases for Silent Auction $5,280/baskets $510/Admissions $215.
4/12/16 PNC Merchant Deposit $1100 Silent Auction 2015,
4/13/16 PNC Merchant Deposit $1050 Silent Auction 2015,
4/13/16 $650 Checks for Silent Auction 2016,
4/14/16 $1,835 Checks for Admissions &amp; Baskets,
4/15/16 $5,219.25 EventBrite Payment,
4/25/16 $795 Checks for Silent Auction 2016,
4/25/16 $150 Advertisement.
4/27/16 $575 PNC Merch Deposit for Silent Auction (2015)
4/29/16 $100 ck deposit for Silent Auction (2015)
5/9/16 Online transfer from 50/50 account of $2405.70
5/13/16 $850 PNC Deposit for silent auction
5/18/16 $215 deposit for SF Admission
5/27/16 $590 deposit for Advertising ($500) and Silent Auction ($90).
</t>
        </r>
      </text>
    </comment>
    <comment ref="E19" authorId="0" shapeId="0" xr:uid="{7780656E-029A-4210-93A8-7614D8CB5A55}">
      <text>
        <r>
          <rPr>
            <b/>
            <sz val="9"/>
            <color indexed="81"/>
            <rFont val="Tahoma"/>
            <family val="2"/>
          </rPr>
          <t xml:space="preserve">Mimi: </t>
        </r>
        <r>
          <rPr>
            <sz val="9"/>
            <color indexed="81"/>
            <rFont val="Tahoma"/>
            <family val="2"/>
          </rPr>
          <t>2/8/17 Ad Rev.$150 Saker ShopRites, $75 Bedminster Ed Assoc., $55 D. Vu. 3/9/17 Ad Rev. $150 Crosstown Prop. 3/16/17 $4658.03 EventBrite Admissions. 3/20/17 Ad Rev. $1,350, Cash Admissions $140, Donation $50. 3/22/17 Ad Rev. $250. 4/3/17 $250 Donation.4/4/17 EventBrite Admissions $6,098.79. 4/5/17 Ad Rev $955.4/13/17 Ad Rev $875.4/14/17 Cash Admissions $430. 4/14/17 Ad Rev $570.4/18/17 EventBrite Admissions $3,246.26. 4/21/17 Ad Rev $525.4/21/17 Donation $25. 4/27/17 $150 AdRev CC. 4/28/17 $300 AdRev cash. 4/28/17 $245 cash admissions &amp; baskets. 5/1/17 $2,310 Night of cash sales. 5/1/17 $725 Night of credit card sales. 5/4/17 $12,611.86 Eventbrite batch.5/5/17 $9,828.04 Bidding for Good (Silent Auction).5/8/17 $50 8th Grade Donation. 5/15/17 $2,643.76 Trans. from 50/50 Raffle. 5/26/17 $141 Silent Auction &amp; Donation. 6/8/17 $290 Slient Auction. 6/29/17 $50 Silent Auction.</t>
        </r>
      </text>
    </comment>
    <comment ref="G19" authorId="0" shapeId="0" xr:uid="{BDDD8BF8-F7EE-4518-8C3B-06FEAC8A1D23}">
      <text>
        <r>
          <rPr>
            <b/>
            <sz val="9"/>
            <color indexed="81"/>
            <rFont val="Tahoma"/>
            <family val="2"/>
          </rPr>
          <t>Mimi:</t>
        </r>
        <r>
          <rPr>
            <sz val="9"/>
            <color indexed="81"/>
            <rFont val="Tahoma"/>
            <family val="2"/>
          </rPr>
          <t xml:space="preserve"> Cash, Checks, Stripe and Square deposits.  Including Gross Bulldog Bonanza. See SF Report for detail.</t>
        </r>
      </text>
    </comment>
    <comment ref="E20" authorId="0" shapeId="0" xr:uid="{C72E3214-8CC7-4B17-9B97-A8F8DBAD4C97}">
      <text>
        <r>
          <rPr>
            <b/>
            <sz val="9"/>
            <color indexed="81"/>
            <rFont val="Tahoma"/>
            <family val="2"/>
          </rPr>
          <t xml:space="preserve">Mimi B: </t>
        </r>
        <r>
          <rPr>
            <sz val="9"/>
            <color indexed="81"/>
            <rFont val="Tahoma"/>
            <family val="2"/>
          </rPr>
          <t>8/8/16 deposit $2,097.50. 5/8/17 $540.40</t>
        </r>
      </text>
    </comment>
    <comment ref="G20" authorId="0" shapeId="0" xr:uid="{008C4589-7EE0-4B0D-93F5-1EE068026BFA}">
      <text>
        <r>
          <rPr>
            <b/>
            <sz val="9"/>
            <color indexed="81"/>
            <rFont val="Tahoma"/>
            <family val="2"/>
          </rPr>
          <t xml:space="preserve">Mimi: </t>
        </r>
        <r>
          <rPr>
            <sz val="9"/>
            <color indexed="81"/>
            <rFont val="Tahoma"/>
            <family val="2"/>
          </rPr>
          <t>1/16/18 $627.80 5/9/18 $323.90</t>
        </r>
      </text>
    </comment>
    <comment ref="C22" authorId="0" shapeId="0" xr:uid="{97354A04-349E-414B-B6D4-FB2244D28428}">
      <text>
        <r>
          <rPr>
            <b/>
            <sz val="9"/>
            <color indexed="81"/>
            <rFont val="Tahoma"/>
            <family val="2"/>
          </rPr>
          <t>Laura Govan:</t>
        </r>
        <r>
          <rPr>
            <sz val="9"/>
            <color indexed="81"/>
            <rFont val="Tahoma"/>
            <family val="2"/>
          </rPr>
          <t xml:space="preserve">
Deposit's 9/14/15 $466 &amp; $150, 9/17/15 deposit's $630 &amp; $50, 9/22/15 deposit $355, 9/28/15 deposit $70
10/13/15 $95
11/12/15 $50
4/13/16 $10
</t>
        </r>
      </text>
    </comment>
    <comment ref="E22" authorId="0" shapeId="0" xr:uid="{DB134F5F-91DA-4A60-A454-88264C71E26E}">
      <text>
        <r>
          <rPr>
            <b/>
            <sz val="9"/>
            <color indexed="81"/>
            <rFont val="Tahoma"/>
            <family val="2"/>
          </rPr>
          <t xml:space="preserve">Mimi: </t>
        </r>
        <r>
          <rPr>
            <sz val="9"/>
            <color indexed="81"/>
            <rFont val="Tahoma"/>
            <family val="2"/>
          </rPr>
          <t>9/14/16, $1,390 membership dues, 10/7/16 $301.01, 11/14/16, $195, 12/30/16, $50. 2/6/17 $10</t>
        </r>
      </text>
    </comment>
    <comment ref="G22" authorId="0" shapeId="0" xr:uid="{521A7BB2-E93A-4222-A1D8-7D236A2C6AD2}">
      <text>
        <r>
          <rPr>
            <b/>
            <sz val="9"/>
            <color indexed="81"/>
            <rFont val="Tahoma"/>
            <family val="2"/>
          </rPr>
          <t>Mimi:</t>
        </r>
        <r>
          <rPr>
            <sz val="9"/>
            <color indexed="81"/>
            <rFont val="Tahoma"/>
            <family val="2"/>
          </rPr>
          <t xml:space="preserve"> R. Melendez (Square) $9.72. Sept PTO Mtg $170. BTSNs $370+$60. $471.94 Stripe 9/15-10/9. $40+$110 Office. $143.25 Stripe 10/10-10/23. $620 Teachers. $19.12 Stripe 11/29. Stripe 1/12, 2/12 $19.12, $4.55</t>
        </r>
      </text>
    </comment>
    <comment ref="C23" authorId="0" shapeId="0" xr:uid="{64CD477E-8EF2-44AA-B506-04B4D66B2B40}">
      <text>
        <r>
          <rPr>
            <b/>
            <sz val="9"/>
            <color indexed="81"/>
            <rFont val="Tahoma"/>
            <family val="2"/>
          </rPr>
          <t xml:space="preserve">Laura Govan:
</t>
        </r>
        <r>
          <rPr>
            <sz val="9"/>
            <color indexed="81"/>
            <rFont val="Tahoma"/>
            <family val="2"/>
          </rPr>
          <t>9/17/15 deposit for magnet sales at Fall Fest $110.
9/28/15 deposit for magnet sales at Back to School night $80
1/14/16 deposit $931 from Camp Spot</t>
        </r>
      </text>
    </comment>
    <comment ref="E23" authorId="0" shapeId="0" xr:uid="{30449954-3C5A-45F3-9832-7852C8A93B06}">
      <text>
        <r>
          <rPr>
            <b/>
            <sz val="9"/>
            <color indexed="81"/>
            <rFont val="Tahoma"/>
            <family val="2"/>
          </rPr>
          <t xml:space="preserve">Mimi: </t>
        </r>
        <r>
          <rPr>
            <sz val="9"/>
            <color indexed="81"/>
            <rFont val="Tahoma"/>
            <family val="2"/>
          </rPr>
          <t>9/14/16 deposit $83 Fall Fest, 10/7 depost $85 Magnets sold BTSN, 12/30/16 $207.08 (less purchase for display case) Spirit Wear Sale. 2/8/17 $22, $18 Spirit wear sale from inventory. $40 sale from inventory. 6/29/17 Magnet Sale $10.</t>
        </r>
      </text>
    </comment>
    <comment ref="G23" authorId="0" shapeId="0" xr:uid="{7939B967-893D-4116-A928-E25F600DEAD2}">
      <text>
        <r>
          <rPr>
            <b/>
            <sz val="9"/>
            <color indexed="81"/>
            <rFont val="Tahoma"/>
            <family val="2"/>
          </rPr>
          <t>Mimi:</t>
        </r>
        <r>
          <rPr>
            <sz val="9"/>
            <color indexed="81"/>
            <rFont val="Tahoma"/>
            <family val="2"/>
          </rPr>
          <t xml:space="preserve"> Magnet sales $60. BTSNs Magnets $105. $95 Display cabinet items. $40 Magnets @FF.$138 spirit wear sale. $10 Magnets.</t>
        </r>
      </text>
    </comment>
    <comment ref="A24" authorId="0" shapeId="0" xr:uid="{F7DB9AB6-6C90-400D-9E37-E9ADF551FF6C}">
      <text>
        <r>
          <rPr>
            <b/>
            <sz val="9"/>
            <color indexed="81"/>
            <rFont val="Tahoma"/>
            <family val="2"/>
          </rPr>
          <t xml:space="preserve">Mimi: </t>
        </r>
        <r>
          <rPr>
            <sz val="9"/>
            <color indexed="81"/>
            <rFont val="Tahoma"/>
            <family val="2"/>
          </rPr>
          <t>7/1/17 Changed name from Halloween Events to Halloween Spooktacular.</t>
        </r>
      </text>
    </comment>
    <comment ref="C24" authorId="0" shapeId="0" xr:uid="{24975AD6-D33B-472F-86B0-AB15FED025D5}">
      <text>
        <r>
          <rPr>
            <b/>
            <sz val="9"/>
            <color indexed="81"/>
            <rFont val="Tahoma"/>
            <family val="2"/>
          </rPr>
          <t>Laura Govan:</t>
        </r>
        <r>
          <rPr>
            <sz val="9"/>
            <color indexed="81"/>
            <rFont val="Tahoma"/>
            <family val="2"/>
          </rPr>
          <t xml:space="preserve">
11/2/15 $835 from Carnival/trunk or treat</t>
        </r>
      </text>
    </comment>
    <comment ref="E24" authorId="0" shapeId="0" xr:uid="{654A024F-AAC3-40BA-9596-91126CFB6F54}">
      <text>
        <r>
          <rPr>
            <b/>
            <sz val="9"/>
            <color indexed="81"/>
            <rFont val="Tahoma"/>
            <family val="2"/>
          </rPr>
          <t xml:space="preserve">Mimi: </t>
        </r>
        <r>
          <rPr>
            <sz val="9"/>
            <color indexed="81"/>
            <rFont val="Tahoma"/>
            <family val="2"/>
          </rPr>
          <t>deposit $590 admission</t>
        </r>
      </text>
    </comment>
    <comment ref="G24" authorId="0" shapeId="0" xr:uid="{0AC94606-36A4-4DBB-96FA-23BF849C5012}">
      <text>
        <r>
          <rPr>
            <b/>
            <sz val="9"/>
            <color indexed="81"/>
            <rFont val="Tahoma"/>
            <family val="2"/>
          </rPr>
          <t xml:space="preserve">Mimi: </t>
        </r>
        <r>
          <rPr>
            <sz val="9"/>
            <color indexed="81"/>
            <rFont val="Tahoma"/>
            <family val="2"/>
          </rPr>
          <t>$1,793 Admissions. $30 admissions.</t>
        </r>
      </text>
    </comment>
    <comment ref="A25" authorId="0" shapeId="0" xr:uid="{4E91CD33-A749-4478-821C-5F78CA79F095}">
      <text>
        <r>
          <rPr>
            <b/>
            <sz val="9"/>
            <color indexed="81"/>
            <rFont val="Tahoma"/>
            <family val="2"/>
          </rPr>
          <t xml:space="preserve">Mimi: </t>
        </r>
        <r>
          <rPr>
            <sz val="9"/>
            <color indexed="81"/>
            <rFont val="Tahoma"/>
            <family val="2"/>
          </rPr>
          <t>7/1/17 Changed name from Game Night to Family Night.</t>
        </r>
      </text>
    </comment>
    <comment ref="C25" authorId="0" shapeId="0" xr:uid="{D3349FD1-43AB-4A3A-A8DF-0416F3F53C3B}">
      <text>
        <r>
          <rPr>
            <b/>
            <sz val="9"/>
            <color indexed="81"/>
            <rFont val="Tahoma"/>
            <family val="2"/>
          </rPr>
          <t>Laura Govan:</t>
        </r>
        <r>
          <rPr>
            <sz val="9"/>
            <color indexed="81"/>
            <rFont val="Tahoma"/>
            <family val="2"/>
          </rPr>
          <t xml:space="preserve">
11/24/15 dept $690
12/7/15 dept $55</t>
        </r>
      </text>
    </comment>
    <comment ref="C26" authorId="0" shapeId="0" xr:uid="{B161C810-9ED6-45F6-B515-F1E51A3A33CE}">
      <text>
        <r>
          <rPr>
            <b/>
            <sz val="9"/>
            <color indexed="81"/>
            <rFont val="Tahoma"/>
            <family val="2"/>
          </rPr>
          <t>Laura Govan:</t>
        </r>
        <r>
          <rPr>
            <sz val="9"/>
            <color indexed="81"/>
            <rFont val="Tahoma"/>
            <family val="2"/>
          </rPr>
          <t xml:space="preserve">
2/18/16 $648 Rutger's basketball game
2/18/16 $660 Devil's Hockey game
2/24/16 $96 Rutger's Game</t>
        </r>
      </text>
    </comment>
    <comment ref="E26" authorId="0" shapeId="0" xr:uid="{38035B35-EE9D-4092-A2CD-C865F821FFF3}">
      <text>
        <r>
          <rPr>
            <b/>
            <sz val="9"/>
            <color indexed="81"/>
            <rFont val="Tahoma"/>
            <family val="2"/>
          </rPr>
          <t>Mimi Brown:</t>
        </r>
        <r>
          <rPr>
            <sz val="9"/>
            <color indexed="81"/>
            <rFont val="Tahoma"/>
            <family val="2"/>
          </rPr>
          <t xml:space="preserve"> 7/14/16 deposit $574 Basketball Classic</t>
        </r>
      </text>
    </comment>
    <comment ref="E29" authorId="0" shapeId="0" xr:uid="{9DAAAFA9-7CD9-4235-BCDE-AD9D81930034}">
      <text>
        <r>
          <rPr>
            <b/>
            <sz val="9"/>
            <color indexed="81"/>
            <rFont val="Tahoma"/>
            <family val="2"/>
          </rPr>
          <t>joep: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3" authorId="0" shapeId="0" xr:uid="{79156009-732E-474F-B6E0-04B64F930229}">
      <text>
        <r>
          <rPr>
            <b/>
            <sz val="9"/>
            <color indexed="81"/>
            <rFont val="Tahoma"/>
            <family val="2"/>
          </rPr>
          <t>Laura Govan:</t>
        </r>
        <r>
          <rPr>
            <sz val="9"/>
            <color indexed="81"/>
            <rFont val="Tahoma"/>
            <family val="2"/>
          </rPr>
          <t xml:space="preserve">
7/2/15:
MF $9.75, Merch Discount $24.99, Service Charge Period Ending 6/30/15 $33
8/3/15:
MF $9.75, M Disc $24.99
9/2/15:
MF $9.75, Merch Discount $24.99
10/2/15 MF $9.75, PNC Discount $24.99
11/2/15 $24.99 PNC Dis MF $9.75
12/24/15 PNC Dis MF $24.99, MF $9.75.
1/4/15 $25.99 PNC Dis MF, $9.75 MF
2/2/16 $24.99 Merch discount, $9.75 MF
3/2/16 $24.99 Merch Dis,
$9.75 MF
4/4/16 $12.94 MF, $24.99 Merchant Dis 
5/2/16 PNC Merch Fee $12.28, Merch Interchng $12.57, Merch Disc $245.41
6/2/16 Merch Disc $50.48
6/2/16 Merch Fee $9.60
6/2/16 Merch Interchg $1.02
</t>
        </r>
      </text>
    </comment>
    <comment ref="E33" authorId="0" shapeId="0" xr:uid="{67FD5EE3-5B78-479D-A19A-70EBB36D0C54}">
      <text>
        <r>
          <rPr>
            <b/>
            <sz val="9"/>
            <color indexed="81"/>
            <rFont val="Tahoma"/>
            <family val="2"/>
          </rPr>
          <t xml:space="preserve">Mimi: </t>
        </r>
        <r>
          <rPr>
            <sz val="9"/>
            <color indexed="81"/>
            <rFont val="Tahoma"/>
            <family val="2"/>
          </rPr>
          <t>Jun/Jul/Aug, Sept, Oct, Nov, Dec, Jan, Feb, Mar, Apr, May less ISF reimbursement $13 (L.Loeb) &amp; $13 (H. Wolkow).</t>
        </r>
      </text>
    </comment>
    <comment ref="G33" authorId="0" shapeId="0" xr:uid="{390FFEAB-E66D-4854-9D4F-0EBCBF6CF071}">
      <text>
        <r>
          <rPr>
            <b/>
            <sz val="9"/>
            <color indexed="81"/>
            <rFont val="Tahoma"/>
            <family val="2"/>
          </rPr>
          <t xml:space="preserve">Mimi: </t>
        </r>
        <r>
          <rPr>
            <sz val="9"/>
            <color indexed="81"/>
            <rFont val="Tahoma"/>
            <family val="2"/>
          </rPr>
          <t>June/July, Aug plus $15 50/50 acct charge (June-Aug). $192.72 P/G checks and deposit slips.</t>
        </r>
      </text>
    </comment>
    <comment ref="C34" authorId="0" shapeId="0" xr:uid="{907A2399-F1F1-4831-A625-B45FDAFFC3D6}">
      <text>
        <r>
          <rPr>
            <b/>
            <sz val="9"/>
            <color indexed="81"/>
            <rFont val="Tahoma"/>
            <family val="2"/>
          </rPr>
          <t>Laura Govan:</t>
        </r>
        <r>
          <rPr>
            <sz val="9"/>
            <color indexed="81"/>
            <rFont val="Tahoma"/>
            <family val="2"/>
          </rPr>
          <t xml:space="preserve">
4/13/16 Ck#2655 $500 BHS Project Grad.</t>
        </r>
      </text>
    </comment>
    <comment ref="E34" authorId="0" shapeId="0" xr:uid="{263265DC-A89F-41CC-82F1-9D6C13E86D18}">
      <text>
        <r>
          <rPr>
            <b/>
            <sz val="9"/>
            <color indexed="81"/>
            <rFont val="Tahoma"/>
            <family val="2"/>
          </rPr>
          <t xml:space="preserve">Mimi: </t>
        </r>
        <r>
          <rPr>
            <sz val="9"/>
            <color indexed="81"/>
            <rFont val="Tahoma"/>
            <family val="2"/>
          </rPr>
          <t>Ck#2786 $500 BHS-HSA Project Graduation.</t>
        </r>
      </text>
    </comment>
    <comment ref="G34" authorId="0" shapeId="0" xr:uid="{1D3164C5-28B3-4ED0-BF47-C6F2E9AFE947}">
      <text>
        <r>
          <rPr>
            <b/>
            <sz val="9"/>
            <color indexed="81"/>
            <rFont val="Tahoma"/>
            <family val="2"/>
          </rPr>
          <t xml:space="preserve">Mimi: </t>
        </r>
        <r>
          <rPr>
            <sz val="9"/>
            <color indexed="81"/>
            <rFont val="Tahoma"/>
            <family val="2"/>
          </rPr>
          <t>Ck#1059</t>
        </r>
      </text>
    </comment>
    <comment ref="C35" authorId="0" shapeId="0" xr:uid="{C7BC73B6-B770-40ED-803F-0C4512B5E826}">
      <text>
        <r>
          <rPr>
            <b/>
            <sz val="9"/>
            <color indexed="81"/>
            <rFont val="Tahoma"/>
            <family val="2"/>
          </rPr>
          <t>Laura Govan:</t>
        </r>
        <r>
          <rPr>
            <sz val="9"/>
            <color indexed="81"/>
            <rFont val="Tahoma"/>
            <family val="2"/>
          </rPr>
          <t xml:space="preserve">
11/16/15 ck#2612 $295 10/20 Alstede Farm trip
12/23/15 ck#2624 $990 11/20 Grounds for Sculpture.
5/23/16 ck#2671 $225 Matino's Inv#45793
5/23/16 ck#2672 $550 RVCC Inc#45793
5/23/16 ck#2673 $292 Mayo Perf Arts Inv#45792
6/6/16 ck#2684 $818 Red Mill inv#45844
6/6/16 ck#2683 $949
Dorney Park inv 2000.
6/20/16 ck#2696 $1,795 Invoice #'s 45881,45882,45883.</t>
        </r>
      </text>
    </comment>
    <comment ref="E35" authorId="0" shapeId="0" xr:uid="{FBEF0380-985B-4137-82F9-434E070E6BB1}">
      <text>
        <r>
          <rPr>
            <b/>
            <sz val="9"/>
            <color indexed="81"/>
            <rFont val="Tahoma"/>
            <family val="2"/>
          </rPr>
          <t xml:space="preserve">Mimi: </t>
        </r>
        <r>
          <rPr>
            <sz val="9"/>
            <color indexed="81"/>
            <rFont val="Tahoma"/>
            <family val="2"/>
          </rPr>
          <t>Ck#2719 $500 Barker Bus, K FldTrip. Ck#2743 $575 Barker, Martino's.Ck#2779 $950 Barker Bus, Grounds for Sculpture. Ck#2783 $420 Barker Bus, Holocaust @ RVCC. 6/8/17 Bus Stipend from JCC for Holocaust Program @RVCC $210. Ck#2800 $1,675 USGA &amp; Great Swamp. Ck#2807 $3,612.50 MPAC, Farm, 6 Flags, Morris Museum, Veteran's Park. Ck#2812 $1,600 Red Mill Inn, Maiden Farmer.</t>
        </r>
      </text>
    </comment>
    <comment ref="G35" authorId="0" shapeId="0" xr:uid="{AEC7DBEE-886B-491E-BD0B-D6E47E691C98}">
      <text>
        <r>
          <rPr>
            <b/>
            <sz val="9"/>
            <color indexed="81"/>
            <rFont val="Tahoma"/>
            <family val="2"/>
          </rPr>
          <t>Mimi:</t>
        </r>
        <r>
          <rPr>
            <sz val="9"/>
            <color indexed="81"/>
            <rFont val="Tahoma"/>
            <family val="2"/>
          </rPr>
          <t xml:space="preserve"> Ck#1023 $537.50 K Trip. Ck#1032 $875 GFS. Ck#1060 $1,750 Morris Museum &amp; Martinos. Ck#1086 $1,350 RVCC &amp; Fairview Farm.Ck#1100 $800 Great Swamp.Ck#1101$750 USGA.$400 reimbursement Jewish Federation.Ck#1102 $1,050 Dorney Park.</t>
        </r>
      </text>
    </comment>
    <comment ref="E36" authorId="0" shapeId="0" xr:uid="{EC123784-7D0D-4BD4-96C5-1619284E08C8}">
      <text>
        <r>
          <rPr>
            <b/>
            <sz val="9"/>
            <color indexed="81"/>
            <rFont val="Tahoma"/>
            <family val="2"/>
          </rPr>
          <t xml:space="preserve">Mimi: </t>
        </r>
        <r>
          <rPr>
            <sz val="9"/>
            <color indexed="81"/>
            <rFont val="Tahoma"/>
            <family val="2"/>
          </rPr>
          <t>ck#2713, $1,603.50 (6/2 Morris Museum, 6/2 Native Lands</t>
        </r>
      </text>
    </comment>
    <comment ref="F36" authorId="0" shapeId="0" xr:uid="{C366CA61-4CD4-4B84-B953-8D3E281F10F6}">
      <text>
        <r>
          <rPr>
            <b/>
            <sz val="9"/>
            <color indexed="81"/>
            <rFont val="Tahoma"/>
            <family val="2"/>
          </rPr>
          <t xml:space="preserve">Mimi: </t>
        </r>
        <r>
          <rPr>
            <sz val="9"/>
            <color indexed="81"/>
            <rFont val="Tahoma"/>
            <family val="2"/>
          </rPr>
          <t>$325 Sophie's Bistro. $362.50 Noches de Colombia.</t>
        </r>
      </text>
    </comment>
    <comment ref="G36" authorId="0" shapeId="0" xr:uid="{54A728DD-916B-4BED-8ED4-5436C53784E1}">
      <text>
        <r>
          <rPr>
            <b/>
            <sz val="9"/>
            <color indexed="81"/>
            <rFont val="Tahoma"/>
            <family val="2"/>
          </rPr>
          <t xml:space="preserve">Mimi: </t>
        </r>
        <r>
          <rPr>
            <sz val="9"/>
            <color indexed="81"/>
            <rFont val="Tahoma"/>
            <family val="2"/>
          </rPr>
          <t>Ck#2815 $687.50 Barker Bus.</t>
        </r>
      </text>
    </comment>
    <comment ref="E37" authorId="0" shapeId="0" xr:uid="{F971A87E-1E73-40C5-B99D-3E49B3AFB794}">
      <text>
        <r>
          <rPr>
            <b/>
            <sz val="9"/>
            <color indexed="81"/>
            <rFont val="Tahoma"/>
            <family val="2"/>
          </rPr>
          <t xml:space="preserve">Mimi: </t>
        </r>
        <r>
          <rPr>
            <sz val="9"/>
            <color indexed="81"/>
            <rFont val="Tahoma"/>
            <family val="2"/>
          </rPr>
          <t>Ck#2728 $60 NJ Division of Consumer Affairs, tax extension.</t>
        </r>
      </text>
    </comment>
    <comment ref="G37" authorId="0" shapeId="0" xr:uid="{B307BA86-634E-4C03-B401-0D325DFB3C10}">
      <text>
        <r>
          <rPr>
            <b/>
            <sz val="9"/>
            <color indexed="81"/>
            <rFont val="Tahoma"/>
            <family val="2"/>
          </rPr>
          <t xml:space="preserve">Mimi: </t>
        </r>
        <r>
          <rPr>
            <sz val="9"/>
            <color indexed="81"/>
            <rFont val="Tahoma"/>
            <family val="2"/>
          </rPr>
          <t>Ck#1020 $60 NJ Division of Consumer Affairs.</t>
        </r>
      </text>
    </comment>
    <comment ref="G38" authorId="0" shapeId="0" xr:uid="{28D99401-908A-444F-B99D-2C2FAD98FB22}">
      <text>
        <r>
          <rPr>
            <b/>
            <sz val="9"/>
            <color indexed="81"/>
            <rFont val="Tahoma"/>
            <family val="2"/>
          </rPr>
          <t>Mimi:</t>
        </r>
        <r>
          <rPr>
            <sz val="9"/>
            <color indexed="81"/>
            <rFont val="Tahoma"/>
            <family val="2"/>
          </rPr>
          <t xml:space="preserve"> Ck#1038 $987.68, S. Lefurge, costumes.</t>
        </r>
      </text>
    </comment>
    <comment ref="E39" authorId="0" shapeId="0" xr:uid="{8CE60B80-3FA4-4807-88E6-DA3C30E8D442}">
      <text>
        <r>
          <rPr>
            <b/>
            <sz val="9"/>
            <color indexed="81"/>
            <rFont val="Tahoma"/>
            <family val="2"/>
          </rPr>
          <t xml:space="preserve">Mimi: </t>
        </r>
        <r>
          <rPr>
            <sz val="9"/>
            <color indexed="81"/>
            <rFont val="Tahoma"/>
            <family val="2"/>
          </rPr>
          <t>Ck#2799 $151.26 T. Notte. Ck#2811 $391.70 Kaeser &amp; Blair, Inc. P.E. Day wristbands.</t>
        </r>
      </text>
    </comment>
    <comment ref="G39" authorId="0" shapeId="0" xr:uid="{5BB12841-F5F3-4F92-8984-1C890AE161DC}">
      <text>
        <r>
          <rPr>
            <b/>
            <sz val="9"/>
            <color indexed="81"/>
            <rFont val="Tahoma"/>
            <family val="2"/>
          </rPr>
          <t xml:space="preserve">Mimi: </t>
        </r>
        <r>
          <rPr>
            <sz val="9"/>
            <color indexed="81"/>
            <rFont val="Tahoma"/>
            <family val="2"/>
          </rPr>
          <t>Ck#1103 $82.86 T. Notte. Ck#1104 $124.76 M. Deegan.</t>
        </r>
      </text>
    </comment>
    <comment ref="C42" authorId="0" shapeId="0" xr:uid="{A1D98B02-5BAC-461B-95CA-516F8B0C29EC}">
      <text>
        <r>
          <rPr>
            <b/>
            <sz val="9"/>
            <color indexed="81"/>
            <rFont val="Tahoma"/>
            <family val="2"/>
          </rPr>
          <t xml:space="preserve">Laura Govan:
</t>
        </r>
        <r>
          <rPr>
            <sz val="9"/>
            <color indexed="81"/>
            <rFont val="Tahoma"/>
            <family val="2"/>
          </rPr>
          <t xml:space="preserve">9/11/15 </t>
        </r>
        <r>
          <rPr>
            <sz val="9"/>
            <color indexed="81"/>
            <rFont val="Tahoma"/>
            <family val="2"/>
          </rPr>
          <t>ck#2585 petty cash for cash box.</t>
        </r>
      </text>
    </comment>
    <comment ref="G42" authorId="0" shapeId="0" xr:uid="{6936FE49-4FAC-4A13-8691-B8A6110048B8}">
      <text>
        <r>
          <rPr>
            <b/>
            <sz val="9"/>
            <color indexed="81"/>
            <rFont val="Tahoma"/>
            <family val="2"/>
          </rPr>
          <t xml:space="preserve">Mimi: </t>
        </r>
        <r>
          <rPr>
            <sz val="9"/>
            <color indexed="81"/>
            <rFont val="Tahoma"/>
            <family val="2"/>
          </rPr>
          <t>Ck#1011 C. Melendez, Table Decorations.</t>
        </r>
      </text>
    </comment>
    <comment ref="C44" authorId="0" shapeId="0" xr:uid="{5004E12A-B5CA-4C88-9666-5418522D9A86}">
      <text>
        <r>
          <rPr>
            <b/>
            <sz val="9"/>
            <color indexed="81"/>
            <rFont val="Tahoma"/>
            <family val="2"/>
          </rPr>
          <t>Laura Govan:</t>
        </r>
        <r>
          <rPr>
            <sz val="9"/>
            <color indexed="81"/>
            <rFont val="Tahoma"/>
            <family val="2"/>
          </rPr>
          <t xml:space="preserve">
9/25/15 ck#2592 $150 Cash, start up cash for registers.
10/20/15 ck#2601 $8086.85 Scholastic Book Fair</t>
        </r>
      </text>
    </comment>
    <comment ref="E44" authorId="0" shapeId="0" xr:uid="{66CE4770-1924-4D37-8B33-7E95E1B8BED7}">
      <text>
        <r>
          <rPr>
            <b/>
            <sz val="9"/>
            <color indexed="81"/>
            <rFont val="Tahoma"/>
            <family val="2"/>
          </rPr>
          <t xml:space="preserve">Mimi: </t>
        </r>
        <r>
          <rPr>
            <sz val="9"/>
            <color indexed="81"/>
            <rFont val="Tahoma"/>
            <family val="2"/>
          </rPr>
          <t>9/19/16 $202 Start up. 9/29/16 ck#2712 $7,760.13</t>
        </r>
      </text>
    </comment>
    <comment ref="G44" authorId="0" shapeId="0" xr:uid="{DEBB2D4F-1CBF-49C0-8195-3D8EFBAE1E52}">
      <text>
        <r>
          <rPr>
            <b/>
            <sz val="9"/>
            <color indexed="81"/>
            <rFont val="Tahoma"/>
            <family val="2"/>
          </rPr>
          <t xml:space="preserve">Mimi: </t>
        </r>
        <r>
          <rPr>
            <sz val="9"/>
            <color indexed="81"/>
            <rFont val="Tahoma"/>
            <family val="2"/>
          </rPr>
          <t>Ck#1008 Scholastic BF. Ck#1012 $45.26 D. Fredella, Flyers. Ck#1014 $195.39 Scholastic Donation.</t>
        </r>
      </text>
    </comment>
    <comment ref="E45" authorId="0" shapeId="0" xr:uid="{3EDD575E-46B3-4E22-AA8A-ACCE5AD45192}">
      <text>
        <r>
          <rPr>
            <b/>
            <sz val="9"/>
            <color indexed="81"/>
            <rFont val="Tahoma"/>
            <family val="2"/>
          </rPr>
          <t xml:space="preserve">Mimi: </t>
        </r>
        <r>
          <rPr>
            <sz val="9"/>
            <color indexed="81"/>
            <rFont val="Tahoma"/>
            <family val="2"/>
          </rPr>
          <t>ck#2711 $31.57 J. Coleman, Box Top Basket Raffle, ck#2718 $86.20, R. Melendez, Box Top Awareness &amp; Banner, Ck#2732, R. Melendez, Silly String. Ck#2754 $50, R. Melendez, Contest Winner prize.</t>
        </r>
      </text>
    </comment>
    <comment ref="C46" authorId="0" shapeId="0" xr:uid="{F5CFC5F7-EE48-4FD6-9DF1-CD98765321AB}">
      <text>
        <r>
          <rPr>
            <b/>
            <sz val="9"/>
            <color indexed="81"/>
            <rFont val="Tahoma"/>
            <family val="2"/>
          </rPr>
          <t xml:space="preserve">Laura Govan:
</t>
        </r>
        <r>
          <rPr>
            <sz val="9"/>
            <color indexed="81"/>
            <rFont val="Tahoma"/>
            <family val="2"/>
          </rPr>
          <t>ck#2579 7/1/15 Trump National deposit for Spring Fling.
12/3/15 ck#2602 $20 LGCCC for 50/50 raffle
1/13/16 ck#2629 $245 Marisa Austenberg reimbursement for solicitor mailing from Bernardsville Print Center.
1/13/16 ck#2630 $51.01 Marisa Austenberg for supplies for binder organization.
1/25/16 ck#2635 $40 to Bedminster Township for permit for basket &amp; 50/50 raffles.
2/4/16 ck#2638 $350.05 Bernardsville Print Center, envelopes and sandwich boards
2/18/16 Debt USPS $245 Stamps for invite mailing
2/22/16 $200 Online transfer to 50/50 account for printing
2/22/16 ck#2643 $205.10
Suzie Stevinson paper &amp; printing for backpack mailing
2/23/16 ck#2644 $86.15 Jessica Pascale ribbon supplies for baskets 
2/24/16 ck#2650 $549.84 Bernardsville Print Center for invite printing
3/16/16 ck#2653 $222 Jodi Coleman for basket supplies
3/30/16 ck#2656 $40 Bernardsville Print/SF Posters,
4/4/16 ck#2657 $5,625 Trump Nat'l/2nd payment
4/7/16 ck#2658 $150 Cash for cashbox night of.
4/7/16 ck#2659 $150 Cash for Tip for staff at Trump night of.
4/7/16 $641.41 Debt purchase at Bernardsville Printing/printing night of signs
4/8/16 $952.87 Debt purchase at Bernardsville Printing/printing of basket sponsor and silent auction signs for night of.
4/21/16 ck#2662 $14.58 Anna Spitaleri reimbursement for iPad raffle barrel rental.
5/2/16 ck#2663 $5,350 Trump Nat'l balance.
2/5/16 ck#2638 $20 LGCCC for 50/50 raffle
2/5/16 ck#2634 $20 for basket raffle
6/15/16 ck#2690 $420 The Recorder Publishing Co Thank You Ad in BV News.6/21/16 ck#2697 $104.82 Anna Spitaleri Thank you photo cards &amp; postage</t>
        </r>
      </text>
    </comment>
    <comment ref="E46" authorId="0" shapeId="0" xr:uid="{A3A88D50-0A6A-4D37-A412-C0BECC5AD07E}">
      <text>
        <r>
          <rPr>
            <b/>
            <sz val="9"/>
            <color indexed="81"/>
            <rFont val="Tahoma"/>
            <family val="2"/>
          </rPr>
          <t xml:space="preserve">Mimi: </t>
        </r>
        <r>
          <rPr>
            <sz val="9"/>
            <color indexed="81"/>
            <rFont val="Tahoma"/>
            <family val="2"/>
          </rPr>
          <t>ck#2715 $2,500 Trump Nat'l deposit for SF, ck#2733 $93.90, A.Spitaleri, SF Solicitation exp, Ck#2736 $244.58 Bernardsville Print Center; SF Mailing. USPS $235 stamps, Dbt Card. USPS $235 stamps, Dbt Card. Ck#125 $20, Bedminster Twnshp (50/50). Ck#127 $20, Bedminster Twnshp (baskets). Ck#128 $27.41 A.Spitaleri 50/50 Instructions. Ck#129 $180 Bernardsville Print 50/50 tix. USPS $245 Stamps, Dbt Card. Ck#2746 $103.96 J. Pascale, SF Ribbon. Ck#2755 $295.03, B'ville Print, Save the Date. Ck#130 $73.97 B'ville Priint, 50/50 Return Envelopes. Ck#2757 $7,687.50, Trump Nat'l 50% deposit. DebitCard $249, Bidding For Good.Ck#2762 $180.86 J.Coleman, baskets. Ck#2763 $522.64 B'ville Print.Ck#2767 $3,397.50 Trump Final. Ck#2774 $15 KenRent. Ck#135 $14.16 KenRent 50/50. Ck#2775 $31.52 A.Spitaleri, printing. Ck#2776 $1,031.57 B'ville Print. Ck#2778 $183.20 J.Coleman Basket Supplies. Ck#2782 $3,397.50 Trump Nat'l FINAL. Ck#2784 $165 12 Meter Charters, SA Consignment Item. Ck#2790 $253.59 S. Corbett, SA Expense. DebitCard $901.62 Bidding for Good/Frontstream/Slient Auction.</t>
        </r>
      </text>
    </comment>
    <comment ref="G46" authorId="0" shapeId="0" xr:uid="{5EE7E084-9FDA-478E-A422-F0E558B91B3D}">
      <text>
        <r>
          <rPr>
            <b/>
            <sz val="9"/>
            <color indexed="81"/>
            <rFont val="Tahoma"/>
            <family val="2"/>
          </rPr>
          <t xml:space="preserve">Mimi: </t>
        </r>
        <r>
          <rPr>
            <sz val="9"/>
            <color indexed="81"/>
            <rFont val="Tahoma"/>
            <family val="2"/>
          </rPr>
          <t>Ck#1007 $500 Ryland Inn deposit. Ck#1030 $20 Readington Twnshp, Basket raffle.Ck#1031 $20 LGCCC, Basket raffle. Ck#113 (50/50) $120 LGCCC.Ck#114 (50/50) $120 Readington Twnshp. DbtC $36.81 Raffle Drum. Ck#1033 $176.07, S. Ruzicka, solicitations. Ck#1039 $45.23, J. Coleman, basket shred &amp; celo. Ck#103.90, J.Pascale, ribbon. Ck#1046 $61.50 S. Ruzicka, adv. flyer.Ck#115 (50/50 Acct) $153.30,  Print BB tix. Ck#1052 $200.05 B'ville PC. Ck#1054 $257.02 S. Ruzicka. Ck#1057 $12,920 Ryland Inn. Ck#1061 $25.20 S. Ruzicka. Ck# 1062 $33.19 M. Austenberg. Ck#1065 $805.20 Ryland Inn FINAL. Ck#1090 $345 Recorder Publishing, thank you ad.</t>
        </r>
      </text>
    </comment>
    <comment ref="F47" authorId="0" shapeId="0" xr:uid="{E3B27C4E-C0DD-413C-8746-BA0E5B4F705C}">
      <text>
        <r>
          <rPr>
            <b/>
            <sz val="9"/>
            <color indexed="81"/>
            <rFont val="Tahoma"/>
            <family val="2"/>
          </rPr>
          <t xml:space="preserve">Mimi: </t>
        </r>
        <r>
          <rPr>
            <sz val="9"/>
            <color indexed="81"/>
            <rFont val="Tahoma"/>
            <family val="2"/>
          </rPr>
          <t>Ck#2816 $345 Recorder Publishing.Ck#2817 $150 B'ville Print. Ck#2818 $406.01 FINAL Trump Nat'l.</t>
        </r>
      </text>
    </comment>
    <comment ref="G47" authorId="0" shapeId="0" xr:uid="{A4710333-F654-4E61-9CF7-5901E0C5085A}">
      <text>
        <r>
          <rPr>
            <b/>
            <sz val="9"/>
            <color indexed="81"/>
            <rFont val="Tahoma"/>
            <family val="2"/>
          </rPr>
          <t xml:space="preserve">Mimi: </t>
        </r>
        <r>
          <rPr>
            <sz val="9"/>
            <color indexed="81"/>
            <rFont val="Tahoma"/>
            <family val="2"/>
          </rPr>
          <t>Ck#2816 $345 Recorder Pub. Ck#2817 $150 B'ville Print. Ck#2818 $406.01 Trump Nat'l.</t>
        </r>
      </text>
    </comment>
    <comment ref="C48" authorId="0" shapeId="0" xr:uid="{AFFBA427-D438-4264-B2FA-B0DD1EF88496}">
      <text>
        <r>
          <rPr>
            <b/>
            <sz val="9"/>
            <color indexed="81"/>
            <rFont val="Tahoma"/>
            <family val="2"/>
          </rPr>
          <t>Laura Govan:</t>
        </r>
        <r>
          <rPr>
            <sz val="9"/>
            <color indexed="81"/>
            <rFont val="Tahoma"/>
            <family val="2"/>
          </rPr>
          <t xml:space="preserve">
2/24/16 ck#2648 $520 Chase Card Service's for Rutger's basketball tix 
2/25/16 ck#2646 $596.09 New Jersey Devil's for hockey tix
3/22/16 ck#2654 $544.49 Chase Card Services for NJ Devil's tix</t>
        </r>
      </text>
    </comment>
    <comment ref="E48" authorId="0" shapeId="0" xr:uid="{824C947A-0AB7-4D9F-8DB7-D9CFDDE0F74C}">
      <text>
        <r>
          <rPr>
            <b/>
            <sz val="9"/>
            <color indexed="81"/>
            <rFont val="Tahoma"/>
            <family val="2"/>
          </rPr>
          <t>Mimi:</t>
        </r>
        <r>
          <rPr>
            <sz val="9"/>
            <color indexed="81"/>
            <rFont val="Tahoma"/>
            <family val="2"/>
          </rPr>
          <t xml:space="preserve"> 7/14/16 $574 Basketball Classic</t>
        </r>
      </text>
    </comment>
    <comment ref="C50" authorId="0" shapeId="0" xr:uid="{7064C609-D9D7-40E5-A76A-91FAED84BD4D}">
      <text>
        <r>
          <rPr>
            <b/>
            <sz val="9"/>
            <color indexed="81"/>
            <rFont val="Tahoma"/>
            <family val="2"/>
          </rPr>
          <t>Laura Govan:</t>
        </r>
        <r>
          <rPr>
            <sz val="9"/>
            <color indexed="81"/>
            <rFont val="Tahoma"/>
            <family val="2"/>
          </rPr>
          <t xml:space="preserve">
2/22/16 ck#2643 $79.98 Suzie Stevinson Teacher of the Year gift
3/3/16 ck#2642 $100 Grayson C. Meyer College Fund (Chief Meyer's memorial gift)</t>
        </r>
      </text>
    </comment>
    <comment ref="E50" authorId="0" shapeId="0" xr:uid="{4DC692AC-48D8-4F5C-A9F0-3AC7D5DE341D}">
      <text>
        <r>
          <rPr>
            <b/>
            <sz val="9"/>
            <color indexed="81"/>
            <rFont val="Tahoma"/>
            <family val="2"/>
          </rPr>
          <t xml:space="preserve">Mimi: </t>
        </r>
        <r>
          <rPr>
            <sz val="9"/>
            <color indexed="81"/>
            <rFont val="Tahoma"/>
            <family val="2"/>
          </rPr>
          <t>$50 Hospice donation for T. Collins husband, Dbt Card. $75 Amazon gc for Teacher of the Year, Dbt Card.DebitCard $50 Ronald McDonald House, C. Gattone's dad.</t>
        </r>
      </text>
    </comment>
    <comment ref="G50" authorId="0" shapeId="0" xr:uid="{626F5A19-C871-4F79-852F-5FAF48FC2C9D}">
      <text>
        <r>
          <rPr>
            <b/>
            <sz val="9"/>
            <color indexed="81"/>
            <rFont val="Tahoma"/>
            <family val="2"/>
          </rPr>
          <t xml:space="preserve">Mimi: </t>
        </r>
        <r>
          <rPr>
            <sz val="9"/>
            <color indexed="81"/>
            <rFont val="Tahoma"/>
            <family val="2"/>
          </rPr>
          <t>DbtC $110 'We Caring' donation, C. Gattone grandson. DbtC $75 Amazon gc for Educator of the Year. Retirement gcs for Hofman, Roth, Mathez &amp; Marone.</t>
        </r>
      </text>
    </comment>
    <comment ref="C51" authorId="0" shapeId="0" xr:uid="{96C721FE-96C9-49C0-8D22-3A66D4B0D2A0}">
      <text>
        <r>
          <rPr>
            <b/>
            <sz val="9"/>
            <color indexed="81"/>
            <rFont val="Tahoma"/>
            <family val="2"/>
          </rPr>
          <t>Laura Govan:</t>
        </r>
        <r>
          <rPr>
            <sz val="9"/>
            <color indexed="81"/>
            <rFont val="Tahoma"/>
            <family val="2"/>
          </rPr>
          <t xml:space="preserve">
6/8/16 ck#2685 $382.13 Michele Zanzonico for 8th grade grad reception gifts.
6/28/16 ck#2701 
$266.40 Rebecca Gilman for reception supplies: ice, fruit, cake, cupcakes.6/22/16 ck#2700 $345 Tracey Schuller for balloons
</t>
        </r>
      </text>
    </comment>
    <comment ref="E51" authorId="0" shapeId="0" xr:uid="{851472E8-9AA0-4AA4-861D-FF32D1F5D53D}">
      <text>
        <r>
          <rPr>
            <b/>
            <sz val="9"/>
            <color indexed="81"/>
            <rFont val="Tahoma"/>
            <family val="2"/>
          </rPr>
          <t xml:space="preserve">Mimi: </t>
        </r>
        <r>
          <rPr>
            <sz val="9"/>
            <color indexed="81"/>
            <rFont val="Tahoma"/>
            <family val="2"/>
          </rPr>
          <t>Ck#2810 $1,500 Mariellen Reaves</t>
        </r>
      </text>
    </comment>
    <comment ref="G51" authorId="0" shapeId="0" xr:uid="{5020785A-E2AB-4E0E-B60D-10344ED7B259}">
      <text>
        <r>
          <rPr>
            <b/>
            <sz val="9"/>
            <color indexed="81"/>
            <rFont val="Tahoma"/>
            <family val="2"/>
          </rPr>
          <t xml:space="preserve">Mimi: </t>
        </r>
        <r>
          <rPr>
            <sz val="9"/>
            <color indexed="81"/>
            <rFont val="Tahoma"/>
            <family val="2"/>
          </rPr>
          <t>Ck#1105 $980.23 R. Caputo.</t>
        </r>
      </text>
    </comment>
    <comment ref="C52" authorId="0" shapeId="0" xr:uid="{952B5C73-FDE7-4806-BC38-CB74CF397CED}">
      <text>
        <r>
          <rPr>
            <b/>
            <sz val="9"/>
            <color indexed="81"/>
            <rFont val="Tahoma"/>
            <family val="2"/>
          </rPr>
          <t>Laura Govan:</t>
        </r>
        <r>
          <rPr>
            <sz val="9"/>
            <color indexed="81"/>
            <rFont val="Tahoma"/>
            <family val="2"/>
          </rPr>
          <t xml:space="preserve">
5/24/16 ck#2670 $225 Bedminster School</t>
        </r>
      </text>
    </comment>
    <comment ref="E52" authorId="0" shapeId="0" xr:uid="{DB19FB48-4FBB-4C3B-84E2-98324DEFB9CB}">
      <text>
        <r>
          <rPr>
            <b/>
            <sz val="9"/>
            <color indexed="81"/>
            <rFont val="Tahoma"/>
            <family val="2"/>
          </rPr>
          <t xml:space="preserve">Mimi: </t>
        </r>
        <r>
          <rPr>
            <sz val="9"/>
            <color indexed="81"/>
            <rFont val="Tahoma"/>
            <family val="2"/>
          </rPr>
          <t>Ck#2765 BTS $200 Award Night (8 awards).</t>
        </r>
      </text>
    </comment>
    <comment ref="G52" authorId="0" shapeId="0" xr:uid="{145EDE56-8BB6-4721-9653-DABD0EF0A60E}">
      <text>
        <r>
          <rPr>
            <b/>
            <sz val="9"/>
            <color indexed="81"/>
            <rFont val="Tahoma"/>
            <family val="2"/>
          </rPr>
          <t xml:space="preserve">Mimi: </t>
        </r>
        <r>
          <rPr>
            <sz val="9"/>
            <color indexed="81"/>
            <rFont val="Tahoma"/>
            <family val="2"/>
          </rPr>
          <t>Ck#1066 $200 Bedminster School.</t>
        </r>
      </text>
    </comment>
    <comment ref="B53" authorId="1" shapeId="0" xr:uid="{22C114CC-0645-4E26-9090-629417258EE8}">
      <text>
        <r>
          <rPr>
            <b/>
            <sz val="9"/>
            <color indexed="81"/>
            <rFont val="Tahoma"/>
            <family val="2"/>
          </rPr>
          <t xml:space="preserve">Laura Govan: 11/18/14 ck#2499 Perrotti's Hospitality parent/teacher conferences,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3" authorId="0" shapeId="0" xr:uid="{09B084EC-DFFD-4377-808D-D1000A5D9403}">
      <text>
        <r>
          <rPr>
            <b/>
            <sz val="9"/>
            <color indexed="81"/>
            <rFont val="Tahoma"/>
            <family val="2"/>
          </rPr>
          <t>Laura Govan:</t>
        </r>
        <r>
          <rPr>
            <sz val="9"/>
            <color indexed="81"/>
            <rFont val="Tahoma"/>
            <family val="2"/>
          </rPr>
          <t xml:space="preserve">
9/17/15 ck#2589 $227.40 to Staples Advantage/Godrey's Grant for 5th&amp;6th grade binder organizers.
9/16/15 ck#2588 $540.10 Really Good Stuff/Alfieri Grant for book binds.
9/18/15 ck#2590 $319.19
Kobay/Reading Center,
10/15/15 ck#2600 $309.99 Suzie Stevinson reimursement for Alfieri iPad grant.
11/10/15 ck#2607 $135 Laura Govan reimbursement for online purchase of "Sugar Skulls" for Griffith Grant.
11/8/15 ck#2608 $319.12
Alfieri Grant "book bins"
11/20/15 ck#2609 $619 Aussie Pouch Co. 4th Grade grant for chair pockets
11/30/15 ck#2618 $23.10 Laura Govan reimbursement for Marlott mini-grant for Mercy Watson book set.
12/1/15 ck#2616 $133.25  Really Good Stuff for Sherry Marlott mini-grant.
12/29/15 ck#2625 $149.97 Andrea Burke reimbursment for "Nearpod".
1/25/16 DebtCard purchase $717 Aussie Pouch for McFarland Grant.
1/25/16 DebtCard purchase Really Good Stuff $275.29 for book pouches for McFarland (K).
1/29/16 DebtCard purchase $138.38
Cajun Chess for 3rd &amp; 4th grade classroom chess sets.
2/9/16 ck#2639$150 Oceanic Society for Hofman Sea Turtle expert
2/24/16 Debt $373.75 Bouncy Bands - Mancini 
3/24/16 ck#2652 $426 for CAP Grant
4/5/16 $27.76 Debt purchase Carson Dellosa/Grant Marlott.
4/18/16 Ck#2660 $458.12 Andrea Burke reimbursement for Breakout Kits Grant.
4/27/16 Online purchase $80.14 Amazon for Whisperphones/Ragoza.
5/18/16 ck#2668 $140 RHS Student Activities for Johnson grant speaking and debate competition.
5/25/16 ck#2675 $200 Tony Costello Heritiage Night Music.
5/26/16 ck#2676 $97.76 Yvonne Mathez Heritage Night Crepery Supplies.
6/1/16 Debit Purchase $63.50 Griffith Grant for Worry Dolls. 6/8/16 Ck#2677$86.11 Jennifer Griffith Heritage Night Supplies
6/14/16 ck#2678 $62.99 Lucy Ragoza for 1 Million Minute Celebration.
6/17/16 ck#2681 $600 KRG Entertainment, LLC 4th&amp;5th Grade loca author Karen Rostoker-Gruber.
6/29/16 ck#2691 $319.88 Suzie Stevinson reimbursement for 2nd iPad purchase for reading specialists.</t>
        </r>
      </text>
    </comment>
    <comment ref="E53" authorId="0" shapeId="0" xr:uid="{A9895457-FDF9-4FB0-9FD0-FDB5D01C2342}">
      <text>
        <r>
          <rPr>
            <b/>
            <sz val="9"/>
            <color indexed="81"/>
            <rFont val="Tahoma"/>
            <family val="2"/>
          </rPr>
          <t xml:space="preserve">Mimi: </t>
        </r>
        <r>
          <rPr>
            <sz val="9"/>
            <color indexed="81"/>
            <rFont val="Tahoma"/>
            <family val="2"/>
          </rPr>
          <t>DebitCard $283.31, Mr Mac, White Board. DebitCard $487.77-$37.80 (tax refund), PE Speakers. Ck#2737 $149.69, Mr Schoch, Grade 6 ELA Books. Ck#2738 $69.90, Books&amp;Buddies snacks. Café.Ck#2742 $80.04 Books&amp;Buddies menus. Ck#2749 $72.84 Book&amp;Buddies beverages. DbtCard $53.43, Echo Dot, Mancini. DbtCard $223.92, Balance Ball Chairs, Davies. Ck#2759 $305.59, Flexible Seating, Ms. McFarland.Ck#2764 $264.76 Flexible Seating, Wysocki.Dbt Card $144.18 Headseats, Tonini.Ck#2768 $122.76 Flexible Seating, Ragoza. DebitCard $244.00 Amazon, BTS Book Club. Ck#2770 $270.20 B.Alfieri, flex seating. Ck# 2780 $240.20 Aquarium, Mr Mac. Ck#2781 #40.99 Aquarium, Mr Mac.</t>
        </r>
      </text>
    </comment>
    <comment ref="G53" authorId="0" shapeId="0" xr:uid="{8DE33D98-8E20-4FFB-9682-5093D472702B}">
      <text>
        <r>
          <rPr>
            <b/>
            <sz val="9"/>
            <color indexed="81"/>
            <rFont val="Tahoma"/>
            <family val="2"/>
          </rPr>
          <t xml:space="preserve">Mimi: </t>
        </r>
        <r>
          <rPr>
            <sz val="9"/>
            <color indexed="81"/>
            <rFont val="Tahoma"/>
            <family val="2"/>
          </rPr>
          <t>DbtC $100.77 Giaim Balance Chairs. Ck#1037 $263.20 P.McNamara, Aquarium supplies. Dbt $344.75 DBT $344.75 Yogimax bean bag. Ck#1040 $86.40 Books and Buddies, water. Ck#1043 $63.92 Books and Buddies cookies, Ck#1044 $16 Books and Buddies programs. Ck#1074-1081 $297.50*8=$2,380 OOTM grant. Ck#1089 $429.99 Ms Godfrey, ipad.Ck#1106 $591 B. Alfieri, book bins.</t>
        </r>
      </text>
    </comment>
    <comment ref="C54" authorId="0" shapeId="0" xr:uid="{5753132E-97A9-4FDB-BD6A-D8D9DC88FB56}">
      <text>
        <r>
          <rPr>
            <b/>
            <sz val="9"/>
            <color indexed="81"/>
            <rFont val="Tahoma"/>
            <family val="2"/>
          </rPr>
          <t>Laura Govan:</t>
        </r>
        <r>
          <rPr>
            <sz val="9"/>
            <color indexed="81"/>
            <rFont val="Tahoma"/>
            <family val="2"/>
          </rPr>
          <t xml:space="preserve">
10/27/15 ck#2584 $370 CAP reissue of payment for 2014-2015 Grant</t>
        </r>
      </text>
    </comment>
    <comment ref="E54" authorId="0" shapeId="0" xr:uid="{F276CF12-1B2E-4EB5-A155-E87027119295}">
      <text>
        <r>
          <rPr>
            <b/>
            <sz val="9"/>
            <color indexed="81"/>
            <rFont val="Tahoma"/>
            <family val="2"/>
          </rPr>
          <t>Mimi:</t>
        </r>
        <r>
          <rPr>
            <sz val="9"/>
            <color indexed="81"/>
            <rFont val="Tahoma"/>
            <family val="2"/>
          </rPr>
          <t xml:space="preserve"> 8/11/16 ck#2705 $356.50 Malmark Bellcraftsmen for Handbells (to be reimbursed by BOE). BOE reimbursed 11/2/16 $356.50 ck#20353 9/14/16 ck#2708 $1,240 Malmark Bellcraftsmen-Handbells</t>
        </r>
      </text>
    </comment>
    <comment ref="F54" authorId="0" shapeId="0" xr:uid="{47A3EDC2-0A76-4C21-B34D-F354FADB5409}">
      <text>
        <r>
          <rPr>
            <b/>
            <sz val="9"/>
            <color indexed="81"/>
            <rFont val="Tahoma"/>
            <family val="2"/>
          </rPr>
          <t>Mimi:</t>
        </r>
        <r>
          <rPr>
            <sz val="9"/>
            <color indexed="81"/>
            <rFont val="Tahoma"/>
            <family val="2"/>
          </rPr>
          <t xml:space="preserve"> $500 Spotlight repairs.</t>
        </r>
      </text>
    </comment>
    <comment ref="G54" authorId="0" shapeId="0" xr:uid="{6E7D2A5F-F848-4A25-A25D-E78204ADAF76}">
      <text>
        <r>
          <rPr>
            <b/>
            <sz val="9"/>
            <color indexed="81"/>
            <rFont val="Tahoma"/>
            <family val="2"/>
          </rPr>
          <t xml:space="preserve">Mimi: </t>
        </r>
        <r>
          <rPr>
            <sz val="9"/>
            <color indexed="81"/>
            <rFont val="Tahoma"/>
            <family val="2"/>
          </rPr>
          <t>Ck#1016 $485 Jon Kovara Tech (spotlight repairs).</t>
        </r>
      </text>
    </comment>
    <comment ref="H54" authorId="0" shapeId="0" xr:uid="{F3A566AB-139F-45EE-AC0B-7A5502F4557C}">
      <text>
        <r>
          <rPr>
            <b/>
            <sz val="9"/>
            <color indexed="81"/>
            <rFont val="Tahoma"/>
            <family val="2"/>
          </rPr>
          <t xml:space="preserve">Mimi: </t>
        </r>
        <r>
          <rPr>
            <sz val="9"/>
            <color indexed="81"/>
            <rFont val="Tahoma"/>
            <family val="2"/>
          </rPr>
          <t>Ck#1106 $591.00, B. Alfieri, book bins.</t>
        </r>
      </text>
    </comment>
    <comment ref="J54" authorId="0" shapeId="0" xr:uid="{CF4A11CA-508F-445E-8C92-542FDD5ED48D}">
      <text>
        <r>
          <rPr>
            <b/>
            <sz val="9"/>
            <color indexed="81"/>
            <rFont val="Tahoma"/>
            <family val="2"/>
          </rPr>
          <t xml:space="preserve">Mimi: </t>
        </r>
        <r>
          <rPr>
            <sz val="9"/>
            <color indexed="81"/>
            <rFont val="Tahoma"/>
            <family val="2"/>
          </rPr>
          <t>Ck#1106 $591.00, B. Alfieri, book bins.</t>
        </r>
      </text>
    </comment>
    <comment ref="C55" authorId="0" shapeId="0" xr:uid="{E6530AF4-30B8-4120-92A3-C3D109CE91E3}">
      <text>
        <r>
          <rPr>
            <b/>
            <sz val="9"/>
            <color indexed="81"/>
            <rFont val="Tahoma"/>
            <family val="2"/>
          </rPr>
          <t xml:space="preserve">Laura Govan:
</t>
        </r>
        <r>
          <rPr>
            <sz val="9"/>
            <color indexed="81"/>
            <rFont val="Tahoma"/>
            <family val="2"/>
          </rPr>
          <t>10/21/15 ck#2599 $80.54 Anna Spitaleri for coffee and pastries for teacher training.
12/11/15 ck#2619 $100 Lisa Schiller PTO Holiday party.
2/22/16 ck#2647$57 Suzie Stevinson teacher training
6/17/16 ck#2697 $100 Lisa Schiller for End of year party.</t>
        </r>
      </text>
    </comment>
    <comment ref="E55" authorId="0" shapeId="0" xr:uid="{BCAF84D4-1CB3-4D37-945A-4258BA0EAAD9}">
      <text>
        <r>
          <rPr>
            <b/>
            <sz val="9"/>
            <color indexed="81"/>
            <rFont val="Tahoma"/>
            <family val="2"/>
          </rPr>
          <t>Mimi:</t>
        </r>
        <r>
          <rPr>
            <sz val="9"/>
            <color indexed="81"/>
            <rFont val="Tahoma"/>
            <family val="2"/>
          </rPr>
          <t xml:space="preserve"> ck#2729 $280 J.Calpin, Conference Hospitality</t>
        </r>
      </text>
    </comment>
    <comment ref="G55" authorId="0" shapeId="0" xr:uid="{8CB6FF69-F20A-4E31-96E0-93E786B74EDA}">
      <text>
        <r>
          <rPr>
            <b/>
            <sz val="9"/>
            <color indexed="81"/>
            <rFont val="Tahoma"/>
            <family val="2"/>
          </rPr>
          <t>Mimi:</t>
        </r>
        <r>
          <rPr>
            <sz val="9"/>
            <color indexed="81"/>
            <rFont val="Tahoma"/>
            <family val="2"/>
          </rPr>
          <t xml:space="preserve"> Ck#1068 $300 J.Calpin, P/T Conferences.</t>
        </r>
      </text>
    </comment>
    <comment ref="C56" authorId="0" shapeId="0" xr:uid="{F7E75D3F-D0F7-4055-91B2-59C54E8DDE71}">
      <text>
        <r>
          <rPr>
            <b/>
            <sz val="9"/>
            <color indexed="81"/>
            <rFont val="Tahoma"/>
            <family val="2"/>
          </rPr>
          <t>Laura Govan:</t>
        </r>
        <r>
          <rPr>
            <sz val="9"/>
            <color indexed="81"/>
            <rFont val="Tahoma"/>
            <family val="2"/>
          </rPr>
          <t xml:space="preserve">
11/18/15 ck#2597 $100 LGCCC for Spring Fling
</t>
        </r>
      </text>
    </comment>
    <comment ref="E56" authorId="0" shapeId="0" xr:uid="{01779CDC-7E41-4157-87DA-D4270959AE51}">
      <text>
        <r>
          <rPr>
            <b/>
            <sz val="9"/>
            <color indexed="81"/>
            <rFont val="Tahoma"/>
            <family val="2"/>
          </rPr>
          <t xml:space="preserve">Mimi: </t>
        </r>
        <r>
          <rPr>
            <sz val="9"/>
            <color indexed="81"/>
            <rFont val="Tahoma"/>
            <family val="2"/>
          </rPr>
          <t>Ck#124 $20 LGCCC (50/50). (50/50). Ck#126 $20 LGCCC (baskets).</t>
        </r>
      </text>
    </comment>
    <comment ref="G56" authorId="0" shapeId="0" xr:uid="{B53665D9-24BA-46BF-BBB5-8DD4189DEA16}">
      <text>
        <r>
          <rPr>
            <b/>
            <sz val="9"/>
            <color indexed="81"/>
            <rFont val="Tahoma"/>
            <family val="2"/>
          </rPr>
          <t xml:space="preserve">Mimi: </t>
        </r>
        <r>
          <rPr>
            <sz val="9"/>
            <color indexed="81"/>
            <rFont val="Tahoma"/>
            <family val="2"/>
          </rPr>
          <t>Ck#1006 paid 9/12/17</t>
        </r>
      </text>
    </comment>
    <comment ref="C57" authorId="0" shapeId="0" xr:uid="{2E675F03-993E-4481-99C6-551A2EB0B5E6}">
      <text>
        <r>
          <rPr>
            <b/>
            <sz val="9"/>
            <color indexed="81"/>
            <rFont val="Tahoma"/>
            <family val="2"/>
          </rPr>
          <t>Laura Govan:</t>
        </r>
        <r>
          <rPr>
            <sz val="9"/>
            <color indexed="81"/>
            <rFont val="Tahoma"/>
            <family val="2"/>
          </rPr>
          <t xml:space="preserve">
9/23/15 ck#2586 $192.87 Marisa Austenberg/printing for back to school mailing.
9/28/15 ck#2591 $50.02 Marisa Austenberg/Marketing &amp; PR for Book Fair,
10/6/15 ck#2596 $137.46 Faith Costabile for bulletin board.
11/30/15 ck#2614 $156 Kim Rich for fliers</t>
        </r>
      </text>
    </comment>
    <comment ref="E57" authorId="0" shapeId="0" xr:uid="{FA0F1E41-8F21-4246-9581-4467AF0FA6A3}">
      <text>
        <r>
          <rPr>
            <b/>
            <sz val="9"/>
            <color indexed="81"/>
            <rFont val="Tahoma"/>
            <family val="2"/>
          </rPr>
          <t>Mimi:</t>
        </r>
        <r>
          <rPr>
            <sz val="9"/>
            <color indexed="81"/>
            <rFont val="Tahoma"/>
            <family val="2"/>
          </rPr>
          <t xml:space="preserve"> 9/12/16, Anna Spitaleri, Ck#2707 $223.35 PTO brochures and posters. Ck#2730 $107.96, F. Costabile, Lobby Bulletin Boards. Ck#2740 $141.25, J.Coleman, Lobby Bulletin Boards. Ck#2748 $60.84 F.Costabile, Lobby Bulletin. Ck#2750 $96, F.Costabile, Lobby Bulletin. Ck#2753 $350, Essex Horse Trials Program Ad. Ck#2787 $82.87 F.Costabile, Lobby BB.</t>
        </r>
      </text>
    </comment>
    <comment ref="G57" authorId="0" shapeId="0" xr:uid="{63FC1D4E-864B-40B4-B126-976A8BA8D863}">
      <text>
        <r>
          <rPr>
            <b/>
            <sz val="9"/>
            <color indexed="81"/>
            <rFont val="Tahoma"/>
            <family val="2"/>
          </rPr>
          <t xml:space="preserve">Mimi: </t>
        </r>
        <r>
          <rPr>
            <sz val="9"/>
            <color indexed="81"/>
            <rFont val="Tahoma"/>
            <family val="2"/>
          </rPr>
          <t>Ck#1009 $54.43 F. Costabile, BB. Ck#1010 $30.94 J. Coleman, BB. Ck#1029 $54.22 J.Coleman, BB.Ck#1047 $83.43 F. Costabile. Ck#1067 $46.90 F. Costabile.</t>
        </r>
      </text>
    </comment>
    <comment ref="C58" authorId="0" shapeId="0" xr:uid="{F05C1E7E-B2EA-410E-AEBC-02C57D2C7C83}">
      <text>
        <r>
          <rPr>
            <b/>
            <sz val="9"/>
            <color indexed="81"/>
            <rFont val="Tahoma"/>
            <family val="2"/>
          </rPr>
          <t>Laura Govan:</t>
        </r>
        <r>
          <rPr>
            <sz val="9"/>
            <color indexed="81"/>
            <rFont val="Tahoma"/>
            <family val="2"/>
          </rPr>
          <t xml:space="preserve">
12/14/15 ck#2623 $24.17 Cindy (Ramsey) Melendez for box top supplies.
2/24/16 ck#2649 $27.26 Cindy Melendez for boxtop supplies
6/27/16 ck#2699 $146 KRG Entertainment, LLC book order pass thru for author visit.
6/17/16 ck#2692 $695 Kenn Nesbitt (pass thru) for book order for his visit (GLP).
6/29/16 ck#2695 $500 Nicole Hanratty Helping Hands Donation.
</t>
        </r>
      </text>
    </comment>
    <comment ref="E58" authorId="0" shapeId="0" xr:uid="{B11FEA58-08E9-49BE-A0AF-C5CE5133908B}">
      <text>
        <r>
          <rPr>
            <b/>
            <sz val="9"/>
            <color indexed="81"/>
            <rFont val="Tahoma"/>
            <family val="2"/>
          </rPr>
          <t xml:space="preserve">Mimi: </t>
        </r>
        <r>
          <rPr>
            <sz val="9"/>
            <color indexed="81"/>
            <rFont val="Tahoma"/>
            <family val="2"/>
          </rPr>
          <t>Ck#2758 $8.50, Display My Art Postage.</t>
        </r>
      </text>
    </comment>
    <comment ref="G58" authorId="0" shapeId="0" xr:uid="{ADDF2161-3B1F-49C1-8626-EE58293B2F48}">
      <text>
        <r>
          <rPr>
            <b/>
            <sz val="9"/>
            <color indexed="81"/>
            <rFont val="Tahoma"/>
            <family val="2"/>
          </rPr>
          <t xml:space="preserve">Mimi: </t>
        </r>
        <r>
          <rPr>
            <sz val="9"/>
            <color indexed="81"/>
            <rFont val="Tahoma"/>
            <family val="2"/>
          </rPr>
          <t>Ck#1063 $169.44 GSHNJ, flower pots.Ck#1098 $40 JVH, Field of Honor.</t>
        </r>
      </text>
    </comment>
    <comment ref="C59" authorId="0" shapeId="0" xr:uid="{FC7C5181-C150-42FA-A12F-92D984F41477}">
      <text>
        <r>
          <rPr>
            <b/>
            <sz val="9"/>
            <color indexed="81"/>
            <rFont val="Tahoma"/>
            <family val="2"/>
          </rPr>
          <t>Laura Govan:</t>
        </r>
        <r>
          <rPr>
            <sz val="9"/>
            <color indexed="81"/>
            <rFont val="Tahoma"/>
            <family val="2"/>
          </rPr>
          <t xml:space="preserve">
1/11/16 ck#2632 $49 Laura Govan for stamps
3/3/16 Debt $16.67 Staples for printer paper
3/31/16 $183.55 PNC check printing fee for new checks and deposit slips.
6/15/16 $57.51 Staples Debt purchase for copies of Budget Info for Budget meeting to pass 2016-2017 Budget.
6/27/16 $106.99 Microsoft Office license renewal.</t>
        </r>
      </text>
    </comment>
    <comment ref="E59" authorId="0" shapeId="0" xr:uid="{75A86490-2210-4625-A772-1EDFA6304BD0}">
      <text>
        <r>
          <rPr>
            <b/>
            <sz val="9"/>
            <color indexed="81"/>
            <rFont val="Tahoma"/>
            <family val="2"/>
          </rPr>
          <t>Mimi:</t>
        </r>
        <r>
          <rPr>
            <sz val="9"/>
            <color indexed="81"/>
            <rFont val="Tahoma"/>
            <family val="2"/>
          </rPr>
          <t xml:space="preserve"> ck#2734, Mimi Brown, $96.10, Ink, stamps. CVS $18.63 flash drive, envelopes, Dbt Card. Ck#2747 $29.98 C. Melendez, note cards. Debitcard $9.80 USPS stamps. DebitCard $56.80 stamps, envelopes, ink, paper. MS Office auto renewal $106.86</t>
        </r>
      </text>
    </comment>
    <comment ref="G59" authorId="0" shapeId="0" xr:uid="{53F97E56-0D77-4191-97DB-750133373B40}">
      <text>
        <r>
          <rPr>
            <b/>
            <sz val="9"/>
            <color indexed="81"/>
            <rFont val="Tahoma"/>
            <family val="2"/>
          </rPr>
          <t xml:space="preserve">Mimi: </t>
        </r>
        <r>
          <rPr>
            <sz val="9"/>
            <color indexed="81"/>
            <rFont val="Tahoma"/>
            <family val="2"/>
          </rPr>
          <t>DbtC $9.80 Stamps x2. Ck#1052 $200.05 B'ville Print, envelopes. DbtC $10 Stamps.Ck#1096 $36.28 S. Ruscika, Weebly.</t>
        </r>
      </text>
    </comment>
    <comment ref="C61" authorId="0" shapeId="0" xr:uid="{BC97647C-6431-47F3-942B-9DC3E053A84A}">
      <text>
        <r>
          <rPr>
            <b/>
            <sz val="9"/>
            <color indexed="81"/>
            <rFont val="Tahoma"/>
            <family val="2"/>
          </rPr>
          <t>Laura Govan:</t>
        </r>
        <r>
          <rPr>
            <sz val="9"/>
            <color indexed="81"/>
            <rFont val="Tahoma"/>
            <family val="2"/>
          </rPr>
          <t xml:space="preserve">
10/9/15 ck#2594 $597.50 Mobile Ed Productions for STEAM Museum.
10/13/15 ck#2593 $3000.00 Joshua Gunderson, Bullying Assembly
10/29/15 ck#2595 $597.50 balance for STEM musuem.
12/21/15 ck#2617 $1100 Kits Interactie Theatre for 12/18 assembly.
1/20/16 ck#2627 $306.25 deposit to The Shakespeare Theatre of NJ for 6-8th Romeo &amp; Juliet
3/15/16 ck#2628 $918.75 The Shakespeare Theatre of NJ balance of R&amp;J.</t>
        </r>
      </text>
    </comment>
    <comment ref="E61" authorId="0" shapeId="0" xr:uid="{D7A462DD-D08A-46F1-BD5F-EE4F4FB7782E}">
      <text>
        <r>
          <rPr>
            <b/>
            <sz val="9"/>
            <color indexed="81"/>
            <rFont val="Tahoma"/>
            <family val="2"/>
          </rPr>
          <t xml:space="preserve">Mimi: </t>
        </r>
        <r>
          <rPr>
            <sz val="9"/>
            <color indexed="81"/>
            <rFont val="Tahoma"/>
            <family val="2"/>
          </rPr>
          <t xml:space="preserve">Nat'l Constitution Ctr ck#2716 $541.80, TheaterWorks ck#2717 $500 (deposit). Ck#2724 $1,500 (balance). Ck#2739 $1,550 Eric Dasher; Brain Wash Game Show. Ck#2741 $1,150 Kit's Interactive Theatre. DebitCard $3,314.50 Phantom of the Opera tkts. </t>
        </r>
        <r>
          <rPr>
            <b/>
            <sz val="9"/>
            <color indexed="81"/>
            <rFont val="Tahoma"/>
            <family val="2"/>
          </rPr>
          <t>DEPOSIT:</t>
        </r>
        <r>
          <rPr>
            <sz val="9"/>
            <color indexed="81"/>
            <rFont val="Tahoma"/>
            <family val="2"/>
          </rPr>
          <t xml:space="preserve"> POTO Student payments $2,700. Ck#2791 $2,000 TheaterWorks, Charlotte's Web. Ck#2793 $335 M. Stanford, Nurse for B'way trip.</t>
        </r>
      </text>
    </comment>
    <comment ref="G61" authorId="0" shapeId="0" xr:uid="{9B64A9D0-E9C5-4DAC-96C9-719C839FEC99}">
      <text>
        <r>
          <rPr>
            <b/>
            <sz val="9"/>
            <color indexed="81"/>
            <rFont val="Tahoma"/>
            <family val="2"/>
          </rPr>
          <t xml:space="preserve">Mimi: </t>
        </r>
        <r>
          <rPr>
            <sz val="9"/>
            <color indexed="81"/>
            <rFont val="Tahoma"/>
            <family val="2"/>
          </rPr>
          <t>DbtCard $2,600 Think Kindness. Ck#1002 $921.50 The Earth Dome. Ck#1018 $75 Addt'l Session The Earth Dome. Ck#1019 $320 Shakespeare deposit.Ck#1035 $812.50 deposit AHT, Black History Month. Ck#1036 $450 deposit AHT, Women's Program.Ck#1042 $812.50 balance AHT, Black History Month. Ck#1051 $1,200 Kits Interactive. Ck#1055 $450 AHT. Ck#1070 $248.16 AHT Travel exp.  Ck#1088 $960 The Shakespeare Theatre (balance).</t>
        </r>
      </text>
    </comment>
    <comment ref="A62" authorId="0" shapeId="0" xr:uid="{8518440A-63DE-4D2B-9E36-442883288C74}">
      <text>
        <r>
          <rPr>
            <b/>
            <sz val="9"/>
            <color indexed="81"/>
            <rFont val="Tahoma"/>
            <family val="2"/>
          </rPr>
          <t xml:space="preserve">Mimi: </t>
        </r>
        <r>
          <rPr>
            <sz val="9"/>
            <color indexed="81"/>
            <rFont val="Tahoma"/>
            <family val="2"/>
          </rPr>
          <t>2018/19; Author visit budget transferred to Grade Level Programs.  Teachers will determine authors by class.</t>
        </r>
      </text>
    </comment>
    <comment ref="C62" authorId="0" shapeId="0" xr:uid="{B90D1C2C-666E-4C60-A594-8045834902CB}">
      <text>
        <r>
          <rPr>
            <b/>
            <sz val="9"/>
            <color indexed="81"/>
            <rFont val="Tahoma"/>
            <family val="2"/>
          </rPr>
          <t>Laura Govan:</t>
        </r>
        <r>
          <rPr>
            <sz val="9"/>
            <color indexed="81"/>
            <rFont val="Tahoma"/>
            <family val="2"/>
          </rPr>
          <t xml:space="preserve">
1/13/16 ck#2626 $3,750 Striking Viking Story Pirates LLC, Story Pirates (K-5th) assembly</t>
        </r>
      </text>
    </comment>
    <comment ref="E62" authorId="0" shapeId="0" xr:uid="{56967694-5DE8-4715-A7BC-1D2EC9CF635B}">
      <text>
        <r>
          <rPr>
            <b/>
            <sz val="9"/>
            <color indexed="81"/>
            <rFont val="Tahoma"/>
            <family val="2"/>
          </rPr>
          <t xml:space="preserve">Mimi: </t>
        </r>
        <r>
          <rPr>
            <sz val="9"/>
            <color indexed="81"/>
            <rFont val="Tahoma"/>
            <family val="2"/>
          </rPr>
          <t>Ck#2752 $2,500, Writes of Passage, Wendy Mass author visit. DebitCard, US Coachways, 7th Grade Bdway trip to Phantom $406.35 (deposit) $948.14 (balance).</t>
        </r>
      </text>
    </comment>
    <comment ref="G62" authorId="0" shapeId="0" xr:uid="{5CE5B2B9-5A5C-4B24-BAF6-4D1F23FB2A33}">
      <text>
        <r>
          <rPr>
            <b/>
            <sz val="9"/>
            <color indexed="81"/>
            <rFont val="Tahoma"/>
            <family val="2"/>
          </rPr>
          <t>Mimi:</t>
        </r>
        <r>
          <rPr>
            <sz val="9"/>
            <color indexed="81"/>
            <rFont val="Tahoma"/>
            <family val="2"/>
          </rPr>
          <t xml:space="preserve"> Ck#1022 $1,600 G. Korman skype.Ck#1024 $825 C. Schwartz.Ck#1025 $600 D. Gutman.</t>
        </r>
      </text>
    </comment>
    <comment ref="C63" authorId="0" shapeId="0" xr:uid="{7F93B565-319A-4760-815D-698672EF72BE}">
      <text>
        <r>
          <rPr>
            <b/>
            <sz val="9"/>
            <color indexed="81"/>
            <rFont val="Tahoma"/>
            <family val="2"/>
          </rPr>
          <t>Laura Govan:</t>
        </r>
        <r>
          <rPr>
            <sz val="9"/>
            <color indexed="81"/>
            <rFont val="Tahoma"/>
            <family val="2"/>
          </rPr>
          <t xml:space="preserve">
1/13/16 ck#2626 $3,750 Striking Viking Story Pirates LLC, Story Pirates (K-5th) assembly</t>
        </r>
      </text>
    </comment>
    <comment ref="E63" authorId="0" shapeId="0" xr:uid="{32FB47FC-CF92-40F7-9DF1-F8B6A418B782}">
      <text>
        <r>
          <rPr>
            <b/>
            <sz val="9"/>
            <color indexed="81"/>
            <rFont val="Tahoma"/>
            <family val="2"/>
          </rPr>
          <t xml:space="preserve">Mimi: </t>
        </r>
        <r>
          <rPr>
            <sz val="9"/>
            <color indexed="81"/>
            <rFont val="Tahoma"/>
            <family val="2"/>
          </rPr>
          <t>ck#2706 $5900 Dave Burgess, Teach Like a Pirate (addt'l $1900 comes out of Special Projects</t>
        </r>
      </text>
    </comment>
    <comment ref="C64" authorId="0" shapeId="0" xr:uid="{231F4428-7114-4221-A567-862E00586049}">
      <text>
        <r>
          <rPr>
            <b/>
            <sz val="9"/>
            <color indexed="81"/>
            <rFont val="Tahoma"/>
            <family val="2"/>
          </rPr>
          <t>Laura Govan:</t>
        </r>
        <r>
          <rPr>
            <sz val="9"/>
            <color indexed="81"/>
            <rFont val="Tahoma"/>
            <family val="2"/>
          </rPr>
          <t xml:space="preserve">
11/2/15 ck#3604 $400 Bruce Blitz for 7th grade.
2/16/16 ck#2640 $150 Glassworks deposit 6th grade
2/25/16 ck#2651 $1,274.00 Glassworks balance of 6th grade
5/19/16 ck#2669 $475 Jenkinson's Aquarium 1st grade Penguin visit.
5/31/16 ck#2674 $1800 Kenn Nesbitt Author visit 2nd Grade. 
6/13/16 ck#2682 $476 High tech High Touch 3rd grade "Chain Gangs"
6/14/16 ck#2679 Aesthetic Press, Inc 4th grade Celebrate NJ Speaker.
6/16/16 ck#2694 $625 Unique Creatures 7th grade.
6/20/16 ck#2680 $430 Snakes-n-Scales 4th grade.
6/21/16 ck#2689 $391 Kindergarten "Get Buggy"
6/21/16 ck#2693 $245 New Jersey Audubon 5th Grade "Turtle Tunnels"
6/27/16 ck#2687 $240 USGA 7th Grade Gold Museum.</t>
        </r>
      </text>
    </comment>
    <comment ref="E64" authorId="0" shapeId="0" xr:uid="{157C8742-3837-4330-899A-22A04AD44A0D}">
      <text>
        <r>
          <rPr>
            <b/>
            <sz val="9"/>
            <color indexed="81"/>
            <rFont val="Tahoma"/>
            <family val="2"/>
          </rPr>
          <t>Mimi:</t>
        </r>
        <r>
          <rPr>
            <sz val="9"/>
            <color indexed="81"/>
            <rFont val="Tahoma"/>
            <family val="2"/>
          </rPr>
          <t xml:space="preserve"> Ck#2723 $302.29 HUE Animation, Ms. Burke. Ck#2725 $400 Artist Bruce Blitz, Ms. Hershkowitz. Ck#2727 $101.40, Sugar Skulls, Ms. Griffith. Ck#2735 $150 (deposit), Ck#2745 $1,274 (balance), Glassworks, Ms. Hershkowitz. Ck#2744 $493, CAP Program, Ms. Infante. Ck#2751 $100 SEE Turtles.Ck#2766 $40.30 Read-a-Thon, Lawson. Ck#2769 $475 Jenkinson's, Penguins. CK#2768 $335 Turtle Tunnels. Ck#2802 $42.30 water.Ck#2789 $650 Unique Creatures. Ck#2792 $103.12 Int'l Heritage Night crepes. Debit Card $32.05 x 3, Sim City. Ck#2796 $550, Gym Geography. Ck#2797 $430 Snakes-n-Scales. Ck#2798 $180 W. Choroszewski.</t>
        </r>
      </text>
    </comment>
    <comment ref="G64" authorId="0" shapeId="0" xr:uid="{9F24E18E-FE7B-406B-9012-D191D8EC62DC}">
      <text>
        <r>
          <rPr>
            <b/>
            <sz val="9"/>
            <color indexed="81"/>
            <rFont val="Tahoma"/>
            <family val="2"/>
          </rPr>
          <t xml:space="preserve">Mimi: </t>
        </r>
        <r>
          <rPr>
            <sz val="9"/>
            <color indexed="81"/>
            <rFont val="Tahoma"/>
            <family val="2"/>
          </rPr>
          <t>Ck#1003 $150 Glassworks (deposit). Ck#1013 $400 Bruce Blitz. Ck#1027 $39.84 Book of Life dvd. Ck#1028 $320 CAP program. Ck#1048 $1,188 Glassworks.Ck#1049 $119.31 Y. Mathez, IHN French crepes. Ck#1050 $895 Vanderhoof Trans, B'way trip bus.Ck#1053 $150 SEE Turtles. Ck#1056 $19.84 Maschios, Books and Buddies, milk/water. DC $291.96 SouthWest tix for author L. Currie. $895 Refund from Vanderhoof. Ck#1069 $235.92 S. Stevinson, Uber to Phantom. Ck#1082 Replacement bus for B'way trip $525. Ck#1083 $642 High Touch High Tech. Ck#1084 $150 Lord Stirling Bug program. Ck# 1085 $500 Jenkinson's Aquarium. Ck#1091 $1,250 L. Currie. Ck#1092 $750 Unique Creatures. Ck#1093 $280 Turtle Tunnels. Ck#1094 $180 NJ Historian. Ck#1095 $430 Snakes-n-Scales.Ck#1097 $209 L. Currie (hotel).</t>
        </r>
      </text>
    </comment>
    <comment ref="F65" authorId="0" shapeId="0" xr:uid="{0896B5D6-5B13-4740-A81C-3E7681539B5E}">
      <text>
        <r>
          <rPr>
            <b/>
            <sz val="9"/>
            <color indexed="81"/>
            <rFont val="Tahoma"/>
            <family val="2"/>
          </rPr>
          <t xml:space="preserve">Mimi: </t>
        </r>
        <r>
          <rPr>
            <sz val="9"/>
            <color indexed="81"/>
            <rFont val="Tahoma"/>
            <family val="2"/>
          </rPr>
          <t>$450 Addt'l units of Sim City.</t>
        </r>
      </text>
    </comment>
    <comment ref="H65" authorId="0" shapeId="0" xr:uid="{7B07B5F2-0BC4-4734-A5CB-3ABBF9C80F93}">
      <text>
        <r>
          <rPr>
            <b/>
            <sz val="9"/>
            <color indexed="81"/>
            <rFont val="Tahoma"/>
            <family val="2"/>
          </rPr>
          <t>Mimi:</t>
        </r>
        <r>
          <rPr>
            <sz val="9"/>
            <color indexed="81"/>
            <rFont val="Tahoma"/>
            <family val="2"/>
          </rPr>
          <t xml:space="preserve"> Ck# 1093 $280 Turtle Tunnels.</t>
        </r>
      </text>
    </comment>
    <comment ref="J65" authorId="0" shapeId="0" xr:uid="{CEF38E93-7173-41B3-9145-5CE7F21B47F3}">
      <text>
        <r>
          <rPr>
            <b/>
            <sz val="9"/>
            <color indexed="81"/>
            <rFont val="Tahoma"/>
            <family val="2"/>
          </rPr>
          <t>Mimi:</t>
        </r>
        <r>
          <rPr>
            <sz val="9"/>
            <color indexed="81"/>
            <rFont val="Tahoma"/>
            <family val="2"/>
          </rPr>
          <t xml:space="preserve"> Ck# 1093 $280 Turtle Tunnels.</t>
        </r>
      </text>
    </comment>
    <comment ref="C68" authorId="0" shapeId="0" xr:uid="{6036CF07-72B5-4B2C-B352-9CEF1186038D}">
      <text>
        <r>
          <rPr>
            <b/>
            <sz val="9"/>
            <color indexed="81"/>
            <rFont val="Tahoma"/>
            <family val="2"/>
          </rPr>
          <t>Laura Govan:</t>
        </r>
        <r>
          <rPr>
            <sz val="9"/>
            <color indexed="81"/>
            <rFont val="Tahoma"/>
            <family val="2"/>
          </rPr>
          <t xml:space="preserve">
10/30/15 ck#2605 $100 for cashbox
11/12/15 ck#2606 $900 Bedminster Pizza
11/13/15 ck#2610 $327.99 Susan Corbett for Halloween Carnival &amp; Middle school dance supplies
1/5/15 ck#2611 $69.89 Suzie Stevinson for carnival and dance supplies. 
1/13/16 ck#2631 $52.46 Tony Costello dj at dance for supplies.</t>
        </r>
      </text>
    </comment>
    <comment ref="E68" authorId="0" shapeId="0" xr:uid="{7643166D-B9EE-4DCA-A7F1-699C7B6A1552}">
      <text>
        <r>
          <rPr>
            <b/>
            <sz val="9"/>
            <color indexed="81"/>
            <rFont val="Tahoma"/>
            <family val="2"/>
          </rPr>
          <t>Mimi:</t>
        </r>
        <r>
          <rPr>
            <sz val="9"/>
            <color indexed="81"/>
            <rFont val="Tahoma"/>
            <family val="2"/>
          </rPr>
          <t xml:space="preserve"> $100 petty cash, ck#2722 $820 Desiderio's Pizza</t>
        </r>
      </text>
    </comment>
    <comment ref="G68" authorId="0" shapeId="0" xr:uid="{357923B7-6F54-4228-BCCD-8689323E7839}">
      <text>
        <r>
          <rPr>
            <b/>
            <sz val="9"/>
            <color indexed="81"/>
            <rFont val="Tahoma"/>
            <family val="2"/>
          </rPr>
          <t xml:space="preserve">Mimi: </t>
        </r>
        <r>
          <rPr>
            <sz val="9"/>
            <color indexed="81"/>
            <rFont val="Tahoma"/>
            <family val="2"/>
          </rPr>
          <t>Ck#1004 $55.20 N.Callichio. Ck#1011 C. Melendez. Ck#1012 $40.97 D. Fredella, prizes. Ck#1015 $525 Bedminster Pizza. Ck#1021 $75.78 D. Fredella.</t>
        </r>
      </text>
    </comment>
    <comment ref="C69" authorId="0" shapeId="0" xr:uid="{503DC85A-2923-44EB-B0B0-DD1C3B6AD0AA}">
      <text>
        <r>
          <rPr>
            <b/>
            <sz val="9"/>
            <color indexed="81"/>
            <rFont val="Tahoma"/>
            <family val="2"/>
          </rPr>
          <t>Laura Govan:</t>
        </r>
        <r>
          <rPr>
            <sz val="9"/>
            <color indexed="81"/>
            <rFont val="Tahoma"/>
            <family val="2"/>
          </rPr>
          <t xml:space="preserve">
12/3/15 ck#2613 $200 Jen Calpin </t>
        </r>
      </text>
    </comment>
    <comment ref="C70" authorId="0" shapeId="0" xr:uid="{8D2BDE91-9464-43A4-97C5-B9B58DC56F05}">
      <text>
        <r>
          <rPr>
            <b/>
            <sz val="9"/>
            <color indexed="81"/>
            <rFont val="Tahoma"/>
            <family val="2"/>
          </rPr>
          <t>Laura Govan:</t>
        </r>
        <r>
          <rPr>
            <sz val="9"/>
            <color indexed="81"/>
            <rFont val="Tahoma"/>
            <family val="2"/>
          </rPr>
          <t xml:space="preserve">
5/9/12 ck#2665 $106.34 Jessica Pascale supplies utensils, cups, plates, geranioms
5/10/16 ck#2666 $41.78 Lori Crowell balloons &amp; tableclothes
5/12/16 Ck#2664 $726 Café Picasso for food
5/16/16 ck#2667 $113.37 Cecelia Lardieri coffee cups, dessert plates, napkins</t>
        </r>
      </text>
    </comment>
    <comment ref="E70" authorId="0" shapeId="0" xr:uid="{EBC7B56F-2A57-44EF-8EFB-627418BFD0B3}">
      <text>
        <r>
          <rPr>
            <b/>
            <sz val="9"/>
            <color indexed="81"/>
            <rFont val="Tahoma"/>
            <family val="2"/>
          </rPr>
          <t>Mimi:</t>
        </r>
        <r>
          <rPr>
            <sz val="9"/>
            <color indexed="81"/>
            <rFont val="Tahoma"/>
            <family val="2"/>
          </rPr>
          <t xml:space="preserve"> Ck#2772 $1,000. Café Picasso. Ck#2773 $35 Desiderio's. Ck# 2777 $94.11 J.Pascale</t>
        </r>
      </text>
    </comment>
    <comment ref="G70" authorId="0" shapeId="0" xr:uid="{F98B4ACC-FECE-4BDD-B6CC-2C7E27D613AF}">
      <text>
        <r>
          <rPr>
            <b/>
            <sz val="9"/>
            <color indexed="81"/>
            <rFont val="Tahoma"/>
            <family val="2"/>
          </rPr>
          <t xml:space="preserve">Mimi: </t>
        </r>
        <r>
          <rPr>
            <sz val="9"/>
            <color indexed="81"/>
            <rFont val="Tahoma"/>
            <family val="2"/>
          </rPr>
          <t>Ck#1072 $900 Café Azzurro. Ck#1073 $112 Desiderio's. Ck#1087 $43.18 A. Spitaleri, coffee and planters.</t>
        </r>
      </text>
    </comment>
    <comment ref="C71" authorId="0" shapeId="0" xr:uid="{F7A16B6C-9B34-4547-8B06-D628EBFD8248}">
      <text>
        <r>
          <rPr>
            <b/>
            <sz val="9"/>
            <color indexed="81"/>
            <rFont val="Tahoma"/>
            <family val="2"/>
          </rPr>
          <t>Laura Govan:</t>
        </r>
        <r>
          <rPr>
            <sz val="9"/>
            <color indexed="81"/>
            <rFont val="Tahoma"/>
            <family val="2"/>
          </rPr>
          <t xml:space="preserve">
10/14/15 ck#2598 $243.19 Kimberly Rich supplies &amp; food.</t>
        </r>
      </text>
    </comment>
    <comment ref="E71" authorId="0" shapeId="0" xr:uid="{EB3B7E2F-BE4D-4567-967F-B9445E025BD9}">
      <text>
        <r>
          <rPr>
            <b/>
            <sz val="9"/>
            <color indexed="81"/>
            <rFont val="Tahoma"/>
            <family val="2"/>
          </rPr>
          <t>Mimi:</t>
        </r>
        <r>
          <rPr>
            <sz val="9"/>
            <color indexed="81"/>
            <rFont val="Tahoma"/>
            <family val="2"/>
          </rPr>
          <t xml:space="preserve"> ck#2714 $225.71 Kim Rich, BTSN Hospitality</t>
        </r>
      </text>
    </comment>
    <comment ref="G71" authorId="0" shapeId="0" xr:uid="{78C142FE-BE3D-473F-AE42-9EB20A7E705C}">
      <text>
        <r>
          <rPr>
            <b/>
            <sz val="9"/>
            <color indexed="81"/>
            <rFont val="Tahoma"/>
            <family val="2"/>
          </rPr>
          <t>Mimi:</t>
        </r>
        <r>
          <rPr>
            <sz val="9"/>
            <color indexed="81"/>
            <rFont val="Tahoma"/>
            <family val="2"/>
          </rPr>
          <t xml:space="preserve"> Ck#1005 K.Rich</t>
        </r>
      </text>
    </comment>
    <comment ref="C72" authorId="0" shapeId="0" xr:uid="{BB78DED0-E524-4A53-9C73-C4B7C4088205}">
      <text>
        <r>
          <rPr>
            <b/>
            <sz val="9"/>
            <color indexed="81"/>
            <rFont val="Tahoma"/>
            <family val="2"/>
          </rPr>
          <t>Laura Govan:</t>
        </r>
        <r>
          <rPr>
            <sz val="9"/>
            <color indexed="81"/>
            <rFont val="Tahoma"/>
            <family val="2"/>
          </rPr>
          <t xml:space="preserve">
9/14/15 ck#2587 $105.90 McCool's Ice Cream for ice cream.</t>
        </r>
      </text>
    </comment>
    <comment ref="E72" authorId="0" shapeId="0" xr:uid="{D77677E5-5309-4B02-9F19-0523ED6A1B21}">
      <text>
        <r>
          <rPr>
            <b/>
            <sz val="9"/>
            <color indexed="81"/>
            <rFont val="Tahoma"/>
            <family val="2"/>
          </rPr>
          <t xml:space="preserve">Mimi: </t>
        </r>
        <r>
          <rPr>
            <sz val="9"/>
            <color indexed="81"/>
            <rFont val="Tahoma"/>
            <family val="2"/>
          </rPr>
          <t>Chandra &amp; Ralph :)</t>
        </r>
      </text>
    </comment>
    <comment ref="C73" authorId="0" shapeId="0" xr:uid="{0578FC56-A4A4-43E1-B956-F5176C009850}">
      <text>
        <r>
          <rPr>
            <b/>
            <sz val="9"/>
            <color indexed="81"/>
            <rFont val="Tahoma"/>
            <family val="2"/>
          </rPr>
          <t>Laura Govan:</t>
        </r>
        <r>
          <rPr>
            <sz val="9"/>
            <color indexed="81"/>
            <rFont val="Tahoma"/>
            <family val="2"/>
          </rPr>
          <t xml:space="preserve">
9/15/15 ck#2582 $368.29 Gina Fernandez
9/16/15 ck#2583 $304.09 Linda Fragassi</t>
        </r>
      </text>
    </comment>
    <comment ref="E73" authorId="0" shapeId="0" xr:uid="{334EBD9D-7367-4B66-8453-5C935CA9DDFC}">
      <text>
        <r>
          <rPr>
            <b/>
            <sz val="9"/>
            <color indexed="81"/>
            <rFont val="Tahoma"/>
            <family val="2"/>
          </rPr>
          <t xml:space="preserve">Mimi: </t>
        </r>
        <r>
          <rPr>
            <sz val="9"/>
            <color indexed="81"/>
            <rFont val="Tahoma"/>
            <family val="2"/>
          </rPr>
          <t>Ck#2709 $111.50 D. Fredella, Ck#2710, $764.20, L.Fragassi</t>
        </r>
      </text>
    </comment>
    <comment ref="G73" authorId="0" shapeId="0" xr:uid="{2BAE33BA-783B-4D02-8B85-4D59C91F3B9A}">
      <text>
        <r>
          <rPr>
            <b/>
            <sz val="9"/>
            <color indexed="81"/>
            <rFont val="Tahoma"/>
            <family val="2"/>
          </rPr>
          <t xml:space="preserve">Mimi: </t>
        </r>
        <r>
          <rPr>
            <sz val="9"/>
            <color indexed="81"/>
            <rFont val="Tahoma"/>
            <family val="2"/>
          </rPr>
          <t>Ck#1071 $1,142.85 L. Fragassi, WBTL</t>
        </r>
      </text>
    </comment>
    <comment ref="C75" authorId="0" shapeId="0" xr:uid="{1C39B2C3-31B5-4EC6-95C3-A90877947F22}">
      <text>
        <r>
          <rPr>
            <b/>
            <sz val="9"/>
            <color indexed="81"/>
            <rFont val="Tahoma"/>
            <family val="2"/>
          </rPr>
          <t>Laura Govan:</t>
        </r>
        <r>
          <rPr>
            <sz val="9"/>
            <color indexed="81"/>
            <rFont val="Tahoma"/>
            <family val="2"/>
          </rPr>
          <t xml:space="preserve">
10/20/15 ck#2603 $10,000 Bedminster Township School for 2013-2014 PTO Gift.
1/7/15 ck#2622 $2820 York Fence Co. deposit for fence for outdoor classroom project. Part of 2014-2015 PTO Gift.
1/22/16 ck#2637 $4400 York Fence, balance for outdoor classroom project.</t>
        </r>
      </text>
    </comment>
    <comment ref="E75" authorId="0" shapeId="0" xr:uid="{D987AC64-204E-40F8-8D57-BD14BFBCE148}">
      <text>
        <r>
          <rPr>
            <b/>
            <sz val="9"/>
            <color indexed="81"/>
            <rFont val="Tahoma"/>
            <family val="2"/>
          </rPr>
          <t xml:space="preserve">Mimi: </t>
        </r>
        <r>
          <rPr>
            <sz val="9"/>
            <color indexed="81"/>
            <rFont val="Tahoma"/>
            <family val="2"/>
          </rPr>
          <t>ck#2706 $5900 Dave Burgess, Teach Like a Pirate (addt'l $4000 from Author Reserve), ck#2721 $1054.49 Outdoor Message Bulletin Bd. Debit Card $117.34 PTO Banner. Debit Card $79.99, Letters Outdoor BB. Debit Card $156.20, 2 Pop-Up Tents. Debit Card $36.81 School Outfitters, Addt'l Letter for Outdoor BB.Ck#2760 $530 Lego Club (3&amp;4). Ck#2771 $300 Bedminster PBA Kickball Fundraiser. Ck#2795 $40, Friends of Jacobus Vanderveer, Flags of Honor. Ck#2803 $530 Burke, Lego Club(1&amp;2). Ck#2805 $1,298.50 Biletski, Robotics Club. Ck#2806 $609.50 Hazen, Robotics Club. Ck#2804 $1,298.50 Puglia, Robotics Club.</t>
        </r>
      </text>
    </comment>
    <comment ref="F75" authorId="0" shapeId="0" xr:uid="{812AC253-C284-4929-9967-18F813485033}">
      <text>
        <r>
          <rPr>
            <b/>
            <sz val="9"/>
            <color indexed="81"/>
            <rFont val="Tahoma"/>
            <family val="2"/>
          </rPr>
          <t xml:space="preserve">Mimi: </t>
        </r>
        <r>
          <rPr>
            <sz val="9"/>
            <color indexed="81"/>
            <rFont val="Tahoma"/>
            <family val="2"/>
          </rPr>
          <t>Gaga pit $1,627.96 and $3,742.10. LLI $3,357.20. $350.14 surplus.</t>
        </r>
      </text>
    </comment>
    <comment ref="G75" authorId="0" shapeId="0" xr:uid="{25553DB3-4141-4D3B-9B10-965FB2D98CC5}">
      <text>
        <r>
          <rPr>
            <b/>
            <sz val="9"/>
            <color indexed="81"/>
            <rFont val="Tahoma"/>
            <family val="2"/>
          </rPr>
          <t xml:space="preserve">Mimi: </t>
        </r>
        <r>
          <rPr>
            <sz val="9"/>
            <color indexed="81"/>
            <rFont val="Tahoma"/>
            <family val="2"/>
          </rPr>
          <t>Ck#2813 $1,627.96 Gaga Pit. Ck#2814 $3,357.20 LLI. Ck#2819 $3,652.10 Gaga Pit. Ck#1043 $27.79 Pizza for Gaga installers.</t>
        </r>
      </text>
    </comment>
    <comment ref="E76" authorId="0" shapeId="0" xr:uid="{094C3D86-A886-467C-B3FD-199CEE1508FB}">
      <text>
        <r>
          <rPr>
            <b/>
            <sz val="9"/>
            <color indexed="81"/>
            <rFont val="Tahoma"/>
            <family val="2"/>
          </rPr>
          <t xml:space="preserve">Mimi: </t>
        </r>
        <r>
          <rPr>
            <sz val="9"/>
            <color indexed="81"/>
            <rFont val="Tahoma"/>
            <family val="2"/>
          </rPr>
          <t>Ck#2794 $500 Harbor Speakers, Dr. Michael Bradley, 'Crazy Stressed'. Ck#2808 $600, 'Include Me'.</t>
        </r>
      </text>
    </comment>
    <comment ref="G76" authorId="0" shapeId="0" xr:uid="{A7E798FB-D9A2-4DFA-8D94-22D2186D62CF}">
      <text>
        <r>
          <rPr>
            <b/>
            <sz val="9"/>
            <color indexed="81"/>
            <rFont val="Tahoma"/>
            <family val="2"/>
          </rPr>
          <t xml:space="preserve">Mimi: </t>
        </r>
        <r>
          <rPr>
            <sz val="9"/>
            <color indexed="81"/>
            <rFont val="Tahoma"/>
            <family val="2"/>
          </rPr>
          <t>Ck#1034 $1,200 Pathways for Exceptional Children, 'Include Me'. DBT $650 Screenagers.Ck#1044 $24 Screenagers flyer.</t>
        </r>
      </text>
    </comment>
    <comment ref="G77" authorId="0" shapeId="0" xr:uid="{988941B2-25D1-4C7A-8E9F-AECE69CE6AF5}">
      <text>
        <r>
          <rPr>
            <b/>
            <sz val="9"/>
            <color indexed="81"/>
            <rFont val="Tahoma"/>
            <family val="2"/>
          </rPr>
          <t xml:space="preserve">Mimi: </t>
        </r>
        <r>
          <rPr>
            <sz val="9"/>
            <color indexed="81"/>
            <rFont val="Tahoma"/>
            <family val="2"/>
          </rPr>
          <t>Ck#1011 C. Melendez, Rolling Rack for FF. Ck#1017 $38 SpiritWear Today sale. Ck#1058 $193 Spiritwear Today.</t>
        </r>
      </text>
    </comment>
    <comment ref="E78" authorId="0" shapeId="0" xr:uid="{3B12EE5B-ADFC-4753-8F49-3FBD4358F149}">
      <text>
        <r>
          <rPr>
            <b/>
            <sz val="9"/>
            <color indexed="81"/>
            <rFont val="Tahoma"/>
            <family val="2"/>
          </rPr>
          <t xml:space="preserve">Mimi: </t>
        </r>
        <r>
          <rPr>
            <sz val="9"/>
            <color indexed="81"/>
            <rFont val="Tahoma"/>
            <family val="2"/>
          </rPr>
          <t>Ck#2801 $254.92 Ragoza.</t>
        </r>
      </text>
    </comment>
    <comment ref="G78" authorId="0" shapeId="0" xr:uid="{209501CB-4A18-414F-8014-B12AD9A26E62}">
      <text>
        <r>
          <rPr>
            <b/>
            <sz val="9"/>
            <color indexed="81"/>
            <rFont val="Tahoma"/>
            <family val="2"/>
          </rPr>
          <t xml:space="preserve">Mimi: </t>
        </r>
        <r>
          <rPr>
            <sz val="9"/>
            <color indexed="81"/>
            <rFont val="Tahoma"/>
            <family val="2"/>
          </rPr>
          <t>Ck#1099 $187.29</t>
        </r>
      </text>
    </comment>
  </commentList>
</comments>
</file>

<file path=xl/sharedStrings.xml><?xml version="1.0" encoding="utf-8"?>
<sst xmlns="http://schemas.openxmlformats.org/spreadsheetml/2006/main" count="134" uniqueCount="84">
  <si>
    <t>Proposed</t>
  </si>
  <si>
    <t>Actual</t>
  </si>
  <si>
    <t>Budget Plan</t>
  </si>
  <si>
    <t>Budget</t>
  </si>
  <si>
    <t>YTD</t>
  </si>
  <si>
    <t>2015-2016</t>
  </si>
  <si>
    <t>2016 - 2017</t>
  </si>
  <si>
    <t>2017 - 2018</t>
  </si>
  <si>
    <t>2018 - 2019</t>
  </si>
  <si>
    <t>2019 - 2020</t>
  </si>
  <si>
    <t>INFLOWS</t>
  </si>
  <si>
    <t>Bank balance</t>
  </si>
  <si>
    <t>50/50 Bank balance</t>
  </si>
  <si>
    <t>Open checks from prior fiscal year</t>
  </si>
  <si>
    <t>Actual Beginning Cash</t>
  </si>
  <si>
    <t xml:space="preserve">Misc. </t>
  </si>
  <si>
    <t>Donation</t>
  </si>
  <si>
    <t xml:space="preserve">     FUNDRAISERS</t>
  </si>
  <si>
    <t xml:space="preserve">     Barnes &amp; Noble Book Fair</t>
  </si>
  <si>
    <t xml:space="preserve">     Bedminster Charities Fall fest</t>
  </si>
  <si>
    <t xml:space="preserve">     Display My Art</t>
  </si>
  <si>
    <t xml:space="preserve">     Book Fair</t>
  </si>
  <si>
    <t xml:space="preserve">     Spring Fundraiser</t>
  </si>
  <si>
    <t xml:space="preserve">     Box Tops</t>
  </si>
  <si>
    <t xml:space="preserve">    TOTAL FUNDRAISERS</t>
  </si>
  <si>
    <t>Membership</t>
  </si>
  <si>
    <t>Spirit Wear</t>
  </si>
  <si>
    <t>Halloween Spooktacular</t>
  </si>
  <si>
    <t>Family Night</t>
  </si>
  <si>
    <t>Off Campus Events</t>
  </si>
  <si>
    <t>TOTAL INFLOWS</t>
  </si>
  <si>
    <t>2016-2017</t>
  </si>
  <si>
    <t>2017-2018</t>
  </si>
  <si>
    <t>2018-2019</t>
  </si>
  <si>
    <t>OUTFLOWS</t>
  </si>
  <si>
    <t>Bank Charge</t>
  </si>
  <si>
    <t>BHS Project Graduation</t>
  </si>
  <si>
    <t>Bus</t>
  </si>
  <si>
    <t xml:space="preserve">Bus Reserve </t>
  </si>
  <si>
    <t>Charities Registration</t>
  </si>
  <si>
    <t>Drama club / Spring Musical</t>
  </si>
  <si>
    <t>P.E. Day</t>
  </si>
  <si>
    <t>PTO Fundraisers</t>
  </si>
  <si>
    <t xml:space="preserve">        Bedminster Charities Fall Fest</t>
  </si>
  <si>
    <t xml:space="preserve">        Book Fair</t>
  </si>
  <si>
    <t xml:space="preserve">        Box Tops</t>
  </si>
  <si>
    <t xml:space="preserve">        Spring Fundraiser</t>
  </si>
  <si>
    <t xml:space="preserve">        Spring Fundraiser Reserve</t>
  </si>
  <si>
    <t xml:space="preserve">        Off Campus Events</t>
  </si>
  <si>
    <t xml:space="preserve">   TOTAL Fundraiser</t>
  </si>
  <si>
    <t xml:space="preserve">Gifts </t>
  </si>
  <si>
    <t>Graduation</t>
  </si>
  <si>
    <t>Graduation Awards</t>
  </si>
  <si>
    <t>Class Grants</t>
  </si>
  <si>
    <t>Class Grants - Reserve</t>
  </si>
  <si>
    <t>Hospitality</t>
  </si>
  <si>
    <t xml:space="preserve">Legalized Games of Chance </t>
  </si>
  <si>
    <t>Marketing PR</t>
  </si>
  <si>
    <t>Misc.</t>
  </si>
  <si>
    <t>Office Supplies</t>
  </si>
  <si>
    <t>Programs</t>
  </si>
  <si>
    <t xml:space="preserve">       School programs/assemblies</t>
  </si>
  <si>
    <t xml:space="preserve">       Author Visits</t>
  </si>
  <si>
    <t xml:space="preserve">       Author Visits Reserve</t>
  </si>
  <si>
    <t xml:space="preserve">   Grade Level Programs</t>
  </si>
  <si>
    <t xml:space="preserve">   Grade Level Programs Reserve</t>
  </si>
  <si>
    <t xml:space="preserve">    TOTAL Programs</t>
  </si>
  <si>
    <t>PTO Events</t>
  </si>
  <si>
    <t xml:space="preserve">      Halloween Spooktacular</t>
  </si>
  <si>
    <t xml:space="preserve">   Conference Hospitality</t>
  </si>
  <si>
    <t>Staff Appreciation Day</t>
  </si>
  <si>
    <t xml:space="preserve">       Back to School Night</t>
  </si>
  <si>
    <t xml:space="preserve">       Newcomers' Ice Cream Social</t>
  </si>
  <si>
    <t xml:space="preserve">       Welcome Back Teacher Luncheon</t>
  </si>
  <si>
    <t xml:space="preserve">    Total PTO Events</t>
  </si>
  <si>
    <t xml:space="preserve">Special Projects </t>
  </si>
  <si>
    <t>Social/ Emotional Learning</t>
  </si>
  <si>
    <t xml:space="preserve">Spirit Wear </t>
  </si>
  <si>
    <t>Environmental &amp; Garden Club</t>
  </si>
  <si>
    <t>TOTAL OUTFLOWS</t>
  </si>
  <si>
    <t>Net</t>
  </si>
  <si>
    <r>
      <t xml:space="preserve">Bedminster Township PTO </t>
    </r>
    <r>
      <rPr>
        <b/>
        <sz val="10"/>
        <rFont val="Arial"/>
        <family val="2"/>
      </rPr>
      <t>Budget 2019-2020 School Year</t>
    </r>
  </si>
  <si>
    <t>Approved June 2019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</si>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</sst>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;&quot;$&quot;\(#,##0.00\)"/>
  </numFmts>
  <fonts count="1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i/>
      <sz val="10"/>
      <color rgb="FF00B0F0"/>
      <name val="Arial"/>
      <family val="2"/>
    </font>
    <font>
      <sz val="10"/>
      <color rgb="FF7030A0"/>
      <name val="Arial"/>
      <family val="2"/>
    </font>
    <font>
      <sz val="10"/>
      <color rgb="FF00B0F0"/>
      <name val="Arial"/>
      <family val="2"/>
    </font>
    <font>
      <b/>
      <sz val="10"/>
      <color theme="1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wrapText="1"/>
    </xf>
    <xf numFmtId="0" fontId="4" fillId="0" borderId="2" xfId="0" applyFont="1" applyBorder="1"/>
    <xf numFmtId="0" fontId="1" fillId="0" borderId="2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2" xfId="0" applyFont="1" applyBorder="1"/>
    <xf numFmtId="0" fontId="0" fillId="0" borderId="2" xfId="0" applyBorder="1"/>
    <xf numFmtId="0" fontId="3" fillId="0" borderId="2" xfId="0" applyFont="1" applyBorder="1"/>
    <xf numFmtId="164" fontId="0" fillId="0" borderId="2" xfId="0" applyNumberFormat="1" applyBorder="1"/>
    <xf numFmtId="164" fontId="4" fillId="0" borderId="2" xfId="0" applyNumberFormat="1" applyFont="1" applyBorder="1"/>
    <xf numFmtId="164" fontId="3" fillId="0" borderId="2" xfId="0" applyNumberFormat="1" applyFont="1" applyBorder="1"/>
    <xf numFmtId="0" fontId="7" fillId="2" borderId="2" xfId="0" applyFont="1" applyFill="1" applyBorder="1"/>
    <xf numFmtId="164" fontId="7" fillId="2" borderId="2" xfId="0" applyNumberFormat="1" applyFont="1" applyFill="1" applyBorder="1"/>
    <xf numFmtId="0" fontId="5" fillId="0" borderId="2" xfId="0" applyFont="1" applyBorder="1"/>
    <xf numFmtId="0" fontId="4" fillId="3" borderId="2" xfId="0" applyFont="1" applyFill="1" applyBorder="1"/>
    <xf numFmtId="164" fontId="0" fillId="3" borderId="2" xfId="0" applyNumberFormat="1" applyFill="1" applyBorder="1"/>
    <xf numFmtId="164" fontId="4" fillId="3" borderId="2" xfId="0" applyNumberFormat="1" applyFont="1" applyFill="1" applyBorder="1"/>
    <xf numFmtId="164" fontId="3" fillId="3" borderId="2" xfId="0" applyNumberFormat="1" applyFont="1" applyFill="1" applyBorder="1"/>
    <xf numFmtId="0" fontId="8" fillId="4" borderId="2" xfId="0" applyFont="1" applyFill="1" applyBorder="1"/>
    <xf numFmtId="164" fontId="8" fillId="4" borderId="2" xfId="0" applyNumberFormat="1" applyFont="1" applyFill="1" applyBorder="1"/>
    <xf numFmtId="164" fontId="9" fillId="2" borderId="2" xfId="0" applyNumberFormat="1" applyFont="1" applyFill="1" applyBorder="1"/>
    <xf numFmtId="0" fontId="10" fillId="0" borderId="2" xfId="0" applyFont="1" applyBorder="1"/>
    <xf numFmtId="164" fontId="3" fillId="5" borderId="2" xfId="0" applyNumberFormat="1" applyFont="1" applyFill="1" applyBorder="1"/>
    <xf numFmtId="164" fontId="5" fillId="6" borderId="2" xfId="0" applyNumberFormat="1" applyFont="1" applyFill="1" applyBorder="1"/>
    <xf numFmtId="0" fontId="11" fillId="0" borderId="2" xfId="0" applyFont="1" applyBorder="1"/>
    <xf numFmtId="164" fontId="12" fillId="6" borderId="2" xfId="0" applyNumberFormat="1" applyFont="1" applyFill="1" applyBorder="1"/>
    <xf numFmtId="0" fontId="4" fillId="0" borderId="2" xfId="0" applyFont="1" applyBorder="1" applyAlignment="1">
      <alignment horizontal="left" indent="1"/>
    </xf>
    <xf numFmtId="0" fontId="4" fillId="3" borderId="2" xfId="0" applyFont="1" applyFill="1" applyBorder="1" applyAlignment="1">
      <alignment horizontal="left" indent="1"/>
    </xf>
    <xf numFmtId="0" fontId="4" fillId="0" borderId="2" xfId="0" applyFont="1" applyBorder="1" applyAlignment="1">
      <alignment horizontal="left" indent="2"/>
    </xf>
    <xf numFmtId="0" fontId="13" fillId="6" borderId="2" xfId="0" applyFont="1" applyFill="1" applyBorder="1"/>
    <xf numFmtId="164" fontId="12" fillId="0" borderId="2" xfId="0" applyNumberFormat="1" applyFont="1" applyBorder="1"/>
    <xf numFmtId="164" fontId="12" fillId="0" borderId="0" xfId="0" applyNumberFormat="1" applyFont="1"/>
    <xf numFmtId="7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590550</xdr:colOff>
      <xdr:row>56</xdr:row>
      <xdr:rowOff>95250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31BB090-427A-43F0-BE5E-8C335E65962B}"/>
            </a:ext>
          </a:extLst>
        </xdr:cNvPr>
        <xdr:cNvSpPr txBox="1"/>
      </xdr:nvSpPr>
      <xdr:spPr>
        <a:xfrm>
          <a:off x="5535930" y="9330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590550</xdr:colOff>
      <xdr:row>56</xdr:row>
      <xdr:rowOff>95250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A18A05B-18D2-477C-AB73-33F02AC72CA8}"/>
            </a:ext>
          </a:extLst>
        </xdr:cNvPr>
        <xdr:cNvSpPr txBox="1"/>
      </xdr:nvSpPr>
      <xdr:spPr>
        <a:xfrm>
          <a:off x="7357110" y="9330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590550</xdr:colOff>
      <xdr:row>56</xdr:row>
      <xdr:rowOff>95250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ED2A8A2-9B8D-4890-8E44-742F6F3F4C58}"/>
            </a:ext>
          </a:extLst>
        </xdr:cNvPr>
        <xdr:cNvSpPr txBox="1"/>
      </xdr:nvSpPr>
      <xdr:spPr>
        <a:xfrm>
          <a:off x="9178290" y="93306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590550</xdr:colOff>
      <xdr:row>57</xdr:row>
      <xdr:rowOff>95250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1328F9F-6F8E-4F17-9DAF-78106B79F9F4}"/>
            </a:ext>
          </a:extLst>
        </xdr:cNvPr>
        <xdr:cNvSpPr txBox="1"/>
      </xdr:nvSpPr>
      <xdr:spPr>
        <a:xfrm>
          <a:off x="9178290" y="9490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%20-%202020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Summaries"/>
      <sheetName val="2018-19 Monthly Actuals"/>
      <sheetName val="2019-20 Monthly Budgets "/>
      <sheetName val="2019-20 Detail Spend"/>
      <sheetName val="5.7.18"/>
      <sheetName val="6.11.18"/>
      <sheetName val="6.30.18"/>
    </sheetNames>
    <sheetDataSet>
      <sheetData sheetId="0"/>
      <sheetData sheetId="1">
        <row r="8">
          <cell r="O8">
            <v>26251.16</v>
          </cell>
        </row>
        <row r="9">
          <cell r="O9">
            <v>250</v>
          </cell>
        </row>
        <row r="10">
          <cell r="O10">
            <v>-591</v>
          </cell>
        </row>
        <row r="12">
          <cell r="O12">
            <v>97.72</v>
          </cell>
        </row>
        <row r="13">
          <cell r="O13">
            <v>2155.81</v>
          </cell>
        </row>
        <row r="16">
          <cell r="O16">
            <v>4200</v>
          </cell>
        </row>
        <row r="17">
          <cell r="O17">
            <v>2308.21</v>
          </cell>
        </row>
        <row r="18">
          <cell r="O18">
            <v>0</v>
          </cell>
        </row>
        <row r="19">
          <cell r="O19">
            <v>7740.47</v>
          </cell>
        </row>
        <row r="20">
          <cell r="O20">
            <v>62887.289999999994</v>
          </cell>
        </row>
        <row r="21">
          <cell r="O21">
            <v>515.6</v>
          </cell>
        </row>
        <row r="24">
          <cell r="O24">
            <v>2543.3300000000004</v>
          </cell>
        </row>
        <row r="25">
          <cell r="O25">
            <v>433.49</v>
          </cell>
        </row>
        <row r="26">
          <cell r="O26">
            <v>1565</v>
          </cell>
        </row>
        <row r="27">
          <cell r="O27">
            <v>0</v>
          </cell>
        </row>
        <row r="28">
          <cell r="O28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5911.5</v>
          </cell>
        </row>
        <row r="40">
          <cell r="O40">
            <v>0</v>
          </cell>
        </row>
        <row r="41">
          <cell r="O41">
            <v>650</v>
          </cell>
        </row>
        <row r="42">
          <cell r="O42">
            <v>0</v>
          </cell>
        </row>
        <row r="43">
          <cell r="O43">
            <v>250</v>
          </cell>
        </row>
        <row r="46">
          <cell r="O46">
            <v>0</v>
          </cell>
        </row>
        <row r="47">
          <cell r="O47">
            <v>7719.72</v>
          </cell>
        </row>
        <row r="48">
          <cell r="O48">
            <v>200</v>
          </cell>
        </row>
        <row r="49">
          <cell r="O49">
            <v>23889.039999999997</v>
          </cell>
        </row>
        <row r="50">
          <cell r="O50">
            <v>0</v>
          </cell>
        </row>
        <row r="52">
          <cell r="O52">
            <v>0</v>
          </cell>
        </row>
        <row r="54">
          <cell r="O54">
            <v>225</v>
          </cell>
        </row>
        <row r="55">
          <cell r="O55">
            <v>1000</v>
          </cell>
        </row>
        <row r="56">
          <cell r="O56">
            <v>200</v>
          </cell>
        </row>
        <row r="57">
          <cell r="O57">
            <v>65.89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301.47000000000003</v>
          </cell>
        </row>
        <row r="63">
          <cell r="O63">
            <v>646.86999999999989</v>
          </cell>
        </row>
        <row r="66">
          <cell r="O66">
            <v>10272</v>
          </cell>
        </row>
        <row r="67">
          <cell r="O67">
            <v>0</v>
          </cell>
        </row>
        <row r="69">
          <cell r="O69">
            <v>5293.74</v>
          </cell>
        </row>
        <row r="73">
          <cell r="O73">
            <v>513.36</v>
          </cell>
        </row>
        <row r="74">
          <cell r="O74">
            <v>0</v>
          </cell>
        </row>
        <row r="76">
          <cell r="O76">
            <v>1161.81</v>
          </cell>
        </row>
        <row r="77">
          <cell r="O77">
            <v>183.79</v>
          </cell>
        </row>
        <row r="78">
          <cell r="O78">
            <v>148.72</v>
          </cell>
        </row>
        <row r="79">
          <cell r="O79">
            <v>970</v>
          </cell>
        </row>
        <row r="81">
          <cell r="O81">
            <v>6364.9</v>
          </cell>
        </row>
        <row r="82">
          <cell r="O82">
            <v>0</v>
          </cell>
        </row>
        <row r="83">
          <cell r="O83">
            <v>438</v>
          </cell>
        </row>
        <row r="84">
          <cell r="O84">
            <v>0</v>
          </cell>
        </row>
      </sheetData>
      <sheetData sheetId="2">
        <row r="12">
          <cell r="P12">
            <v>0</v>
          </cell>
        </row>
        <row r="13">
          <cell r="P13">
            <v>0</v>
          </cell>
        </row>
        <row r="16">
          <cell r="P16">
            <v>500</v>
          </cell>
        </row>
        <row r="17">
          <cell r="P17">
            <v>0</v>
          </cell>
        </row>
        <row r="18">
          <cell r="P18">
            <v>0</v>
          </cell>
        </row>
        <row r="19">
          <cell r="P19">
            <v>0</v>
          </cell>
        </row>
        <row r="20">
          <cell r="P20">
            <v>8000</v>
          </cell>
        </row>
        <row r="21">
          <cell r="P21">
            <v>49999.999999999993</v>
          </cell>
        </row>
        <row r="22">
          <cell r="P22">
            <v>500</v>
          </cell>
        </row>
        <row r="25">
          <cell r="P25">
            <v>2000.0000000000002</v>
          </cell>
        </row>
        <row r="26">
          <cell r="P26">
            <v>400</v>
          </cell>
        </row>
        <row r="27">
          <cell r="P27">
            <v>1300</v>
          </cell>
        </row>
        <row r="28">
          <cell r="P28">
            <v>0</v>
          </cell>
        </row>
        <row r="29">
          <cell r="P29">
            <v>0</v>
          </cell>
        </row>
        <row r="38">
          <cell r="P38">
            <v>0</v>
          </cell>
        </row>
        <row r="39">
          <cell r="P39">
            <v>500</v>
          </cell>
        </row>
        <row r="40">
          <cell r="P40">
            <v>7000</v>
          </cell>
        </row>
        <row r="41">
          <cell r="P41">
            <v>0</v>
          </cell>
        </row>
        <row r="42">
          <cell r="P42">
            <v>350</v>
          </cell>
        </row>
        <row r="43">
          <cell r="P43">
            <v>1000</v>
          </cell>
        </row>
        <row r="44">
          <cell r="P44">
            <v>250</v>
          </cell>
        </row>
        <row r="47">
          <cell r="P47">
            <v>50</v>
          </cell>
        </row>
        <row r="49">
          <cell r="P49">
            <v>8000</v>
          </cell>
        </row>
        <row r="50">
          <cell r="P50">
            <v>200</v>
          </cell>
        </row>
        <row r="51">
          <cell r="P51">
            <v>21000</v>
          </cell>
        </row>
        <row r="52">
          <cell r="P52">
            <v>0</v>
          </cell>
        </row>
        <row r="53">
          <cell r="P53">
            <v>0</v>
          </cell>
        </row>
        <row r="55">
          <cell r="P55">
            <v>500</v>
          </cell>
        </row>
        <row r="56">
          <cell r="P56">
            <v>1000</v>
          </cell>
        </row>
        <row r="57">
          <cell r="P57">
            <v>200</v>
          </cell>
        </row>
        <row r="58">
          <cell r="P58">
            <v>5000</v>
          </cell>
        </row>
        <row r="59">
          <cell r="P59">
            <v>0</v>
          </cell>
        </row>
        <row r="60">
          <cell r="P60">
            <v>0</v>
          </cell>
        </row>
        <row r="61">
          <cell r="P61">
            <v>100</v>
          </cell>
        </row>
        <row r="62">
          <cell r="P62">
            <v>500</v>
          </cell>
        </row>
        <row r="63">
          <cell r="P63">
            <v>200</v>
          </cell>
        </row>
        <row r="64">
          <cell r="P64">
            <v>475</v>
          </cell>
        </row>
        <row r="67">
          <cell r="P67">
            <v>10000</v>
          </cell>
        </row>
        <row r="68">
          <cell r="P68">
            <v>3000</v>
          </cell>
        </row>
        <row r="69">
          <cell r="P69">
            <v>0</v>
          </cell>
        </row>
        <row r="70">
          <cell r="P70">
            <v>7999.9999999999991</v>
          </cell>
        </row>
        <row r="71">
          <cell r="P71">
            <v>0</v>
          </cell>
        </row>
        <row r="74">
          <cell r="P74">
            <v>700</v>
          </cell>
        </row>
        <row r="75">
          <cell r="P75">
            <v>500</v>
          </cell>
        </row>
        <row r="76">
          <cell r="P76">
            <v>1200</v>
          </cell>
        </row>
        <row r="77">
          <cell r="P77">
            <v>300</v>
          </cell>
        </row>
        <row r="78">
          <cell r="P78">
            <v>250</v>
          </cell>
        </row>
        <row r="79">
          <cell r="P79">
            <v>1200</v>
          </cell>
        </row>
        <row r="81">
          <cell r="P81">
            <v>4000</v>
          </cell>
        </row>
        <row r="82">
          <cell r="P82">
            <v>1000</v>
          </cell>
        </row>
        <row r="83">
          <cell r="P83">
            <v>400</v>
          </cell>
        </row>
        <row r="84">
          <cell r="P84">
            <v>150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67957-49B8-45B5-968E-B2B2B817A78F}">
  <dimension ref="A1:L83"/>
  <sheetViews>
    <sheetView tabSelected="1" topLeftCell="A22" workbookViewId="0">
      <selection activeCell="L8" sqref="L8"/>
    </sheetView>
  </sheetViews>
  <sheetFormatPr defaultColWidth="9.109375" defaultRowHeight="14.4" x14ac:dyDescent="0.3"/>
  <cols>
    <col min="1" max="1" width="33.44140625" style="2" customWidth="1"/>
    <col min="2" max="5" width="12.88671875" style="2" customWidth="1"/>
    <col min="6" max="6" width="13.6640625" style="2" customWidth="1"/>
    <col min="7" max="7" width="12.88671875" style="2" customWidth="1"/>
    <col min="8" max="8" width="13.6640625" style="3" customWidth="1"/>
    <col min="9" max="9" width="12.88671875" style="2" customWidth="1"/>
    <col min="10" max="10" width="14.109375" style="2" customWidth="1"/>
    <col min="11" max="16384" width="9.109375" style="2"/>
  </cols>
  <sheetData>
    <row r="1" spans="1:12" ht="18" customHeight="1" x14ac:dyDescent="0.25">
      <c r="A1" s="1" t="s">
        <v>81</v>
      </c>
      <c r="B1" s="1"/>
      <c r="C1" s="1"/>
      <c r="D1" s="1"/>
    </row>
    <row r="2" spans="1:12" x14ac:dyDescent="0.25">
      <c r="A2" s="4" t="s">
        <v>82</v>
      </c>
    </row>
    <row r="3" spans="1:12" x14ac:dyDescent="0.25">
      <c r="A3" s="5"/>
      <c r="B3" s="6" t="s">
        <v>0</v>
      </c>
      <c r="C3" s="6" t="s">
        <v>1</v>
      </c>
      <c r="D3" s="6" t="s">
        <v>0</v>
      </c>
      <c r="E3" s="7" t="s">
        <v>1</v>
      </c>
      <c r="F3" s="6" t="s">
        <v>0</v>
      </c>
      <c r="G3" s="7" t="s">
        <v>1</v>
      </c>
      <c r="H3" s="8" t="s">
        <v>0</v>
      </c>
      <c r="I3" s="7" t="s">
        <v>1</v>
      </c>
      <c r="J3" s="8" t="s">
        <v>0</v>
      </c>
    </row>
    <row r="4" spans="1:12" x14ac:dyDescent="0.25">
      <c r="A4" s="5"/>
      <c r="B4" s="6" t="s">
        <v>2</v>
      </c>
      <c r="C4" s="6" t="s">
        <v>3</v>
      </c>
      <c r="D4" s="6" t="s">
        <v>2</v>
      </c>
      <c r="E4" s="7" t="s">
        <v>4</v>
      </c>
      <c r="F4" s="6" t="s">
        <v>2</v>
      </c>
      <c r="G4" s="7" t="s">
        <v>4</v>
      </c>
      <c r="H4" s="8" t="s">
        <v>2</v>
      </c>
      <c r="I4" s="7" t="s">
        <v>4</v>
      </c>
      <c r="J4" s="8" t="s">
        <v>2</v>
      </c>
    </row>
    <row r="5" spans="1:12" x14ac:dyDescent="0.25">
      <c r="A5" s="5"/>
      <c r="B5" s="6"/>
      <c r="C5" s="6"/>
      <c r="D5" s="6"/>
      <c r="E5" s="7"/>
      <c r="F5" s="6"/>
      <c r="G5" s="7"/>
      <c r="H5" s="8"/>
      <c r="I5" s="7"/>
      <c r="J5" s="8"/>
    </row>
    <row r="6" spans="1:12" x14ac:dyDescent="0.25">
      <c r="A6" s="5"/>
      <c r="B6" s="6" t="s">
        <v>5</v>
      </c>
      <c r="C6" s="6" t="s">
        <v>5</v>
      </c>
      <c r="D6" s="6" t="s">
        <v>6</v>
      </c>
      <c r="E6" s="7" t="s">
        <v>6</v>
      </c>
      <c r="F6" s="6" t="s">
        <v>7</v>
      </c>
      <c r="G6" s="7" t="s">
        <v>7</v>
      </c>
      <c r="H6" s="8" t="s">
        <v>8</v>
      </c>
      <c r="I6" s="7" t="s">
        <v>8</v>
      </c>
      <c r="J6" s="8" t="s">
        <v>9</v>
      </c>
    </row>
    <row r="7" spans="1:12" x14ac:dyDescent="0.3">
      <c r="A7" s="9" t="s">
        <v>10</v>
      </c>
      <c r="B7" s="10"/>
      <c r="C7" s="10"/>
      <c r="D7" s="10"/>
      <c r="E7" s="5"/>
      <c r="F7" s="10"/>
      <c r="G7" s="5"/>
      <c r="H7" s="11"/>
      <c r="I7" s="5"/>
      <c r="J7" s="11"/>
    </row>
    <row r="8" spans="1:12" x14ac:dyDescent="0.3">
      <c r="A8" s="5" t="s">
        <v>11</v>
      </c>
      <c r="B8" s="12">
        <v>54481.99</v>
      </c>
      <c r="C8" s="12">
        <v>42385.73</v>
      </c>
      <c r="D8" s="12">
        <v>42385.73</v>
      </c>
      <c r="E8" s="13">
        <v>28323.919999999998</v>
      </c>
      <c r="F8" s="12">
        <v>28323.919999999998</v>
      </c>
      <c r="G8" s="13">
        <v>27920.91</v>
      </c>
      <c r="H8" s="14">
        <v>26251.16</v>
      </c>
      <c r="I8" s="13">
        <f>+'[1]2018-19 Monthly Actuals'!O8</f>
        <v>26251.16</v>
      </c>
      <c r="J8" s="14">
        <v>46592.21</v>
      </c>
      <c r="L8" s="2" t="s">
        <v>83</v>
      </c>
    </row>
    <row r="9" spans="1:12" x14ac:dyDescent="0.3">
      <c r="A9" s="5" t="s">
        <v>12</v>
      </c>
      <c r="B9" s="12">
        <v>101</v>
      </c>
      <c r="C9" s="12">
        <v>80</v>
      </c>
      <c r="D9" s="12">
        <v>80</v>
      </c>
      <c r="E9" s="13">
        <v>80</v>
      </c>
      <c r="F9" s="12">
        <v>80</v>
      </c>
      <c r="G9" s="13">
        <v>80</v>
      </c>
      <c r="H9" s="14">
        <v>249.56</v>
      </c>
      <c r="I9" s="13">
        <f>+'[1]2018-19 Monthly Actuals'!O9</f>
        <v>250</v>
      </c>
      <c r="J9" s="14">
        <v>250</v>
      </c>
    </row>
    <row r="10" spans="1:12" x14ac:dyDescent="0.3">
      <c r="A10" s="5" t="s">
        <v>13</v>
      </c>
      <c r="B10" s="12">
        <v>-1570</v>
      </c>
      <c r="C10" s="12"/>
      <c r="D10" s="12">
        <v>-296.49</v>
      </c>
      <c r="E10" s="13">
        <f>-103.12-40-42.3-217.59</f>
        <v>-403.01</v>
      </c>
      <c r="F10" s="12">
        <f>-103.12-40-42.3-217.59</f>
        <v>-403.01</v>
      </c>
      <c r="G10" s="13">
        <v>0</v>
      </c>
      <c r="H10" s="14"/>
      <c r="I10" s="13">
        <f>+'[1]2018-19 Monthly Actuals'!O10</f>
        <v>-591</v>
      </c>
      <c r="J10" s="14"/>
    </row>
    <row r="11" spans="1:12" x14ac:dyDescent="0.25">
      <c r="A11" s="15" t="s">
        <v>14</v>
      </c>
      <c r="B11" s="16">
        <f t="shared" ref="B11:J11" si="0">SUM(B8:B10)</f>
        <v>53012.99</v>
      </c>
      <c r="C11" s="16">
        <f t="shared" si="0"/>
        <v>42465.73</v>
      </c>
      <c r="D11" s="16">
        <f t="shared" si="0"/>
        <v>42169.240000000005</v>
      </c>
      <c r="E11" s="16">
        <f t="shared" si="0"/>
        <v>28000.91</v>
      </c>
      <c r="F11" s="16">
        <f t="shared" si="0"/>
        <v>28000.91</v>
      </c>
      <c r="G11" s="16">
        <f t="shared" si="0"/>
        <v>28000.91</v>
      </c>
      <c r="H11" s="16">
        <f t="shared" si="0"/>
        <v>26500.720000000001</v>
      </c>
      <c r="I11" s="16">
        <f t="shared" si="0"/>
        <v>25910.16</v>
      </c>
      <c r="J11" s="16">
        <f t="shared" si="0"/>
        <v>46842.21</v>
      </c>
    </row>
    <row r="12" spans="1:12" x14ac:dyDescent="0.3">
      <c r="A12" s="5" t="s">
        <v>15</v>
      </c>
      <c r="B12" s="12">
        <v>0</v>
      </c>
      <c r="C12" s="12">
        <v>1480</v>
      </c>
      <c r="D12" s="12">
        <v>0</v>
      </c>
      <c r="E12" s="13">
        <f>700+90.77+18.9+593.21</f>
        <v>1402.88</v>
      </c>
      <c r="F12" s="12">
        <v>0</v>
      </c>
      <c r="G12" s="13">
        <f>0.97+799+14-824.24+164.83</f>
        <v>154.56000000000003</v>
      </c>
      <c r="H12" s="14">
        <v>0</v>
      </c>
      <c r="I12" s="13">
        <f>+'[1]2018-19 Monthly Actuals'!O12</f>
        <v>97.72</v>
      </c>
      <c r="J12" s="14">
        <f>+'[1]2019-20 Monthly Budgets '!P12</f>
        <v>0</v>
      </c>
    </row>
    <row r="13" spans="1:12" x14ac:dyDescent="0.3">
      <c r="A13" s="5" t="s">
        <v>16</v>
      </c>
      <c r="B13" s="12">
        <v>0</v>
      </c>
      <c r="C13" s="12"/>
      <c r="D13" s="12">
        <v>0</v>
      </c>
      <c r="E13" s="13">
        <f>492.46+144.68+100+135.18+100+116.52+50.74-144.68+58.26+537.24+39.12+60</f>
        <v>1689.5199999999998</v>
      </c>
      <c r="F13" s="12">
        <v>0</v>
      </c>
      <c r="G13" s="13">
        <f>91.52+35.48+4000+97.1+77.68+30.29+77.68+55.21+30+116.8+97.97+39.99</f>
        <v>4749.7200000000012</v>
      </c>
      <c r="H13" s="14">
        <v>0</v>
      </c>
      <c r="I13" s="13">
        <f>+'[1]2018-19 Monthly Actuals'!O13</f>
        <v>2155.81</v>
      </c>
      <c r="J13" s="14">
        <f>+'[1]2019-20 Monthly Budgets '!P13</f>
        <v>0</v>
      </c>
    </row>
    <row r="14" spans="1:12" x14ac:dyDescent="0.3">
      <c r="A14" s="17" t="s">
        <v>17</v>
      </c>
      <c r="B14" s="12"/>
      <c r="C14" s="12"/>
      <c r="D14" s="12"/>
      <c r="E14" s="13"/>
      <c r="F14" s="12"/>
      <c r="G14" s="13"/>
      <c r="H14" s="14"/>
      <c r="I14" s="13"/>
      <c r="J14" s="14"/>
    </row>
    <row r="15" spans="1:12" x14ac:dyDescent="0.3">
      <c r="A15" s="5" t="s">
        <v>18</v>
      </c>
      <c r="B15" s="12"/>
      <c r="C15" s="12"/>
      <c r="D15" s="12"/>
      <c r="E15" s="13"/>
      <c r="F15" s="12"/>
      <c r="G15" s="13"/>
      <c r="H15" s="14"/>
      <c r="I15" s="13"/>
      <c r="J15" s="14">
        <f>+'[1]2019-20 Monthly Budgets '!P16</f>
        <v>500</v>
      </c>
    </row>
    <row r="16" spans="1:12" x14ac:dyDescent="0.3">
      <c r="A16" s="5" t="s">
        <v>19</v>
      </c>
      <c r="B16" s="12">
        <v>0</v>
      </c>
      <c r="C16" s="12">
        <v>5300</v>
      </c>
      <c r="D16" s="12">
        <v>0</v>
      </c>
      <c r="E16" s="13">
        <v>5000</v>
      </c>
      <c r="F16" s="12">
        <v>0</v>
      </c>
      <c r="G16" s="13">
        <f>41+6300</f>
        <v>6341</v>
      </c>
      <c r="H16" s="14">
        <v>0</v>
      </c>
      <c r="I16" s="13">
        <f>+'[1]2018-19 Monthly Actuals'!O16+'[1]2018-19 Monthly Actuals'!O17</f>
        <v>6508.21</v>
      </c>
      <c r="J16" s="14">
        <f>+'[1]2019-20 Monthly Budgets '!P17+'[1]2019-20 Monthly Budgets '!P18</f>
        <v>0</v>
      </c>
    </row>
    <row r="17" spans="1:10" x14ac:dyDescent="0.3">
      <c r="A17" s="5" t="s">
        <v>20</v>
      </c>
      <c r="B17" s="12"/>
      <c r="C17" s="12"/>
      <c r="D17" s="12"/>
      <c r="E17" s="13"/>
      <c r="F17" s="12">
        <v>500</v>
      </c>
      <c r="G17" s="13">
        <f>318.64</f>
        <v>318.64</v>
      </c>
      <c r="H17" s="14">
        <v>0</v>
      </c>
      <c r="I17" s="13">
        <f>+'[1]2018-19 Monthly Actuals'!O18</f>
        <v>0</v>
      </c>
      <c r="J17" s="14">
        <f>+'[1]2019-20 Monthly Budgets '!P19</f>
        <v>0</v>
      </c>
    </row>
    <row r="18" spans="1:10" x14ac:dyDescent="0.3">
      <c r="A18" s="5" t="s">
        <v>21</v>
      </c>
      <c r="B18" s="12">
        <v>8000</v>
      </c>
      <c r="C18" s="12">
        <v>8245.19</v>
      </c>
      <c r="D18" s="12">
        <v>8000</v>
      </c>
      <c r="E18" s="13">
        <f>765.33+879.02+2257.04+2534.54+1518.29</f>
        <v>7954.22</v>
      </c>
      <c r="F18" s="12">
        <v>8000</v>
      </c>
      <c r="G18" s="13">
        <f>7449.48+16.99+196.1+60+40</f>
        <v>7762.57</v>
      </c>
      <c r="H18" s="14">
        <v>8000</v>
      </c>
      <c r="I18" s="13">
        <f>+'[1]2018-19 Monthly Actuals'!O19</f>
        <v>7740.47</v>
      </c>
      <c r="J18" s="14">
        <f>+'[1]2019-20 Monthly Budgets '!P20</f>
        <v>8000</v>
      </c>
    </row>
    <row r="19" spans="1:10" x14ac:dyDescent="0.3">
      <c r="A19" s="18" t="s">
        <v>22</v>
      </c>
      <c r="B19" s="19">
        <v>45000</v>
      </c>
      <c r="C19" s="19">
        <v>53248.78</v>
      </c>
      <c r="D19" s="19">
        <v>45000</v>
      </c>
      <c r="E19" s="20">
        <f>150+75+55+150+4658.03+1350+140+50+250+250+6098.79+955+430+570+525+25+3246.26+875+150+300+245+2310+725+12611.86+9828.04+50+2643.76+141+290+50</f>
        <v>49197.740000000005</v>
      </c>
      <c r="F19" s="19">
        <v>44000</v>
      </c>
      <c r="G19" s="20">
        <f>300+400+200+900+1842.49+1114.84+625.09+72.52+1716.56+145.86+900+765.58+1163.7+159.61+916.08+606.27+363.52+1429.52+217.87+460.32+800+1042.62+1105.44+266.72+291.75+1241.07+242.45+72.93+500+823.84+2181.43+203.61+200+436.35+218.8+538+629.94+289.35+1888.64+411.47+250+860.87+447.33+8397.48+581.69+208.46+2105+400+2415+675.35+600+267.44+7575+200</f>
        <v>52667.86</v>
      </c>
      <c r="H19" s="21">
        <v>48000</v>
      </c>
      <c r="I19" s="13">
        <f>+'[1]2018-19 Monthly Actuals'!O20</f>
        <v>62887.289999999994</v>
      </c>
      <c r="J19" s="14">
        <f>+'[1]2019-20 Monthly Budgets '!P21</f>
        <v>49999.999999999993</v>
      </c>
    </row>
    <row r="20" spans="1:10" x14ac:dyDescent="0.3">
      <c r="A20" s="18" t="s">
        <v>23</v>
      </c>
      <c r="B20" s="19"/>
      <c r="C20" s="19"/>
      <c r="D20" s="19">
        <v>0</v>
      </c>
      <c r="E20" s="20">
        <f>2097.5+540.4</f>
        <v>2637.9</v>
      </c>
      <c r="F20" s="19">
        <v>2500</v>
      </c>
      <c r="G20" s="20">
        <f>627.8+323.9</f>
        <v>951.69999999999993</v>
      </c>
      <c r="H20" s="21">
        <v>1000</v>
      </c>
      <c r="I20" s="13">
        <f>+'[1]2018-19 Monthly Actuals'!O21</f>
        <v>515.6</v>
      </c>
      <c r="J20" s="14">
        <f>+'[1]2019-20 Monthly Budgets '!P22</f>
        <v>500</v>
      </c>
    </row>
    <row r="21" spans="1:10" x14ac:dyDescent="0.25">
      <c r="A21" s="15" t="s">
        <v>24</v>
      </c>
      <c r="B21" s="16">
        <f>SUM(B16:B20)</f>
        <v>53000</v>
      </c>
      <c r="C21" s="16">
        <f t="shared" ref="C21:E21" si="1">SUM(C16:C20)</f>
        <v>66793.97</v>
      </c>
      <c r="D21" s="16">
        <f t="shared" si="1"/>
        <v>53000</v>
      </c>
      <c r="E21" s="16">
        <f t="shared" si="1"/>
        <v>64789.860000000008</v>
      </c>
      <c r="F21" s="16">
        <f>SUM(F16:F20)</f>
        <v>55000</v>
      </c>
      <c r="G21" s="16">
        <f>SUM(G16:G20)</f>
        <v>68041.77</v>
      </c>
      <c r="H21" s="16">
        <f>SUM(H16:H20)</f>
        <v>57000</v>
      </c>
      <c r="I21" s="16">
        <f>SUM(I16:I20)</f>
        <v>77651.570000000007</v>
      </c>
      <c r="J21" s="16">
        <f>SUM(J16:J20)</f>
        <v>58499.999999999993</v>
      </c>
    </row>
    <row r="22" spans="1:10" x14ac:dyDescent="0.3">
      <c r="A22" s="5" t="s">
        <v>25</v>
      </c>
      <c r="B22" s="12">
        <v>1500</v>
      </c>
      <c r="C22" s="12">
        <v>1876</v>
      </c>
      <c r="D22" s="12">
        <v>1750</v>
      </c>
      <c r="E22" s="13">
        <f>1390+301.01+195+50+10</f>
        <v>1946.01</v>
      </c>
      <c r="F22" s="12">
        <v>1750</v>
      </c>
      <c r="G22" s="13">
        <f>9.72+170+370+60+491.06+40+110+143.25+620+19.12+19.12+4.55</f>
        <v>2056.8200000000002</v>
      </c>
      <c r="H22" s="14">
        <v>1750</v>
      </c>
      <c r="I22" s="13">
        <f>+'[1]2018-19 Monthly Actuals'!O24</f>
        <v>2543.3300000000004</v>
      </c>
      <c r="J22" s="14">
        <f>+'[1]2019-20 Monthly Budgets '!P25</f>
        <v>2000.0000000000002</v>
      </c>
    </row>
    <row r="23" spans="1:10" x14ac:dyDescent="0.3">
      <c r="A23" s="18" t="s">
        <v>26</v>
      </c>
      <c r="B23" s="19">
        <v>500</v>
      </c>
      <c r="C23" s="19">
        <v>1121</v>
      </c>
      <c r="D23" s="19">
        <v>500</v>
      </c>
      <c r="E23" s="20">
        <f>83+85+207.08+22+18+40+10</f>
        <v>465.08000000000004</v>
      </c>
      <c r="F23" s="19">
        <v>0</v>
      </c>
      <c r="G23" s="20">
        <f>60+105+95+40+138+27+10+40+13</f>
        <v>528</v>
      </c>
      <c r="H23" s="21">
        <v>0</v>
      </c>
      <c r="I23" s="13">
        <f>+'[1]2018-19 Monthly Actuals'!O25</f>
        <v>433.49</v>
      </c>
      <c r="J23" s="14">
        <f>+'[1]2019-20 Monthly Budgets '!P26</f>
        <v>400</v>
      </c>
    </row>
    <row r="24" spans="1:10" x14ac:dyDescent="0.3">
      <c r="A24" s="18" t="s">
        <v>27</v>
      </c>
      <c r="B24" s="19">
        <v>0</v>
      </c>
      <c r="C24" s="19">
        <v>835</v>
      </c>
      <c r="D24" s="19">
        <v>0</v>
      </c>
      <c r="E24" s="20">
        <v>590</v>
      </c>
      <c r="F24" s="19">
        <v>0</v>
      </c>
      <c r="G24" s="20">
        <f>1793+30</f>
        <v>1823</v>
      </c>
      <c r="H24" s="21">
        <v>0</v>
      </c>
      <c r="I24" s="13">
        <f>+'[1]2018-19 Monthly Actuals'!O26</f>
        <v>1565</v>
      </c>
      <c r="J24" s="14">
        <f>+'[1]2019-20 Monthly Budgets '!P27</f>
        <v>1300</v>
      </c>
    </row>
    <row r="25" spans="1:10" x14ac:dyDescent="0.25">
      <c r="A25" s="22" t="s">
        <v>28</v>
      </c>
      <c r="B25" s="23">
        <v>400</v>
      </c>
      <c r="C25" s="23">
        <v>745</v>
      </c>
      <c r="D25" s="23">
        <v>700</v>
      </c>
      <c r="E25" s="23">
        <v>0</v>
      </c>
      <c r="F25" s="23">
        <v>0</v>
      </c>
      <c r="G25" s="23">
        <v>0</v>
      </c>
      <c r="H25" s="23">
        <v>0</v>
      </c>
      <c r="I25" s="23">
        <f>+'[1]2018-19 Monthly Actuals'!O27</f>
        <v>0</v>
      </c>
      <c r="J25" s="23">
        <f>+'[1]2019-20 Monthly Budgets '!P28</f>
        <v>0</v>
      </c>
    </row>
    <row r="26" spans="1:10" x14ac:dyDescent="0.3">
      <c r="A26" s="18" t="s">
        <v>29</v>
      </c>
      <c r="B26" s="19">
        <v>1300</v>
      </c>
      <c r="C26" s="19">
        <v>1404</v>
      </c>
      <c r="D26" s="19">
        <v>0</v>
      </c>
      <c r="E26" s="20">
        <f>574</f>
        <v>574</v>
      </c>
      <c r="F26" s="19">
        <v>0</v>
      </c>
      <c r="G26" s="20">
        <v>0</v>
      </c>
      <c r="H26" s="21">
        <v>0</v>
      </c>
      <c r="I26" s="13">
        <f>+'[1]2018-19 Monthly Actuals'!O28</f>
        <v>0</v>
      </c>
      <c r="J26" s="14">
        <f>+'[1]2019-20 Monthly Budgets '!P29</f>
        <v>0</v>
      </c>
    </row>
    <row r="27" spans="1:10" x14ac:dyDescent="0.25">
      <c r="A27" s="17"/>
      <c r="B27" s="24">
        <f>SUM(B22:B26)</f>
        <v>3700</v>
      </c>
      <c r="C27" s="24">
        <f t="shared" ref="C27:J27" si="2">SUM(C22:C26)</f>
        <v>5981</v>
      </c>
      <c r="D27" s="24">
        <f t="shared" si="2"/>
        <v>2950</v>
      </c>
      <c r="E27" s="24">
        <f t="shared" si="2"/>
        <v>3575.09</v>
      </c>
      <c r="F27" s="24">
        <f t="shared" si="2"/>
        <v>1750</v>
      </c>
      <c r="G27" s="24">
        <f t="shared" si="2"/>
        <v>4407.82</v>
      </c>
      <c r="H27" s="24">
        <f t="shared" si="2"/>
        <v>1750</v>
      </c>
      <c r="I27" s="24">
        <f t="shared" si="2"/>
        <v>4541.8200000000006</v>
      </c>
      <c r="J27" s="24">
        <f t="shared" si="2"/>
        <v>3700</v>
      </c>
    </row>
    <row r="28" spans="1:10" x14ac:dyDescent="0.25">
      <c r="A28" s="15" t="s">
        <v>30</v>
      </c>
      <c r="B28" s="16">
        <f t="shared" ref="B28:H28" si="3">SUM(B12:B26)-B21</f>
        <v>56700</v>
      </c>
      <c r="C28" s="16">
        <f t="shared" si="3"/>
        <v>74254.97</v>
      </c>
      <c r="D28" s="16">
        <f t="shared" si="3"/>
        <v>55950</v>
      </c>
      <c r="E28" s="16">
        <f t="shared" si="3"/>
        <v>71457.349999999977</v>
      </c>
      <c r="F28" s="16">
        <f t="shared" si="3"/>
        <v>56750</v>
      </c>
      <c r="G28" s="16">
        <f t="shared" si="3"/>
        <v>77353.87000000001</v>
      </c>
      <c r="H28" s="16">
        <f t="shared" si="3"/>
        <v>58750</v>
      </c>
      <c r="I28" s="16">
        <f>SUM(I12:I26)-I21</f>
        <v>84446.919999999984</v>
      </c>
      <c r="J28" s="16">
        <f>SUM(J12:J26)-J21</f>
        <v>62699.999999999993</v>
      </c>
    </row>
    <row r="29" spans="1:10" ht="12.75" customHeight="1" x14ac:dyDescent="0.25">
      <c r="A29" s="5"/>
      <c r="B29" s="6" t="s">
        <v>0</v>
      </c>
      <c r="C29" s="6" t="s">
        <v>0</v>
      </c>
      <c r="D29" s="6" t="s">
        <v>0</v>
      </c>
      <c r="E29" s="7" t="s">
        <v>1</v>
      </c>
      <c r="F29" s="6" t="s">
        <v>0</v>
      </c>
      <c r="G29" s="7" t="s">
        <v>1</v>
      </c>
      <c r="H29" s="8" t="s">
        <v>0</v>
      </c>
      <c r="I29" s="7" t="s">
        <v>1</v>
      </c>
      <c r="J29" s="8" t="s">
        <v>0</v>
      </c>
    </row>
    <row r="30" spans="1:10" ht="12.75" customHeight="1" x14ac:dyDescent="0.25">
      <c r="A30" s="5"/>
      <c r="B30" s="6" t="s">
        <v>3</v>
      </c>
      <c r="C30" s="6" t="s">
        <v>3</v>
      </c>
      <c r="D30" s="6" t="s">
        <v>3</v>
      </c>
      <c r="E30" s="7" t="s">
        <v>4</v>
      </c>
      <c r="F30" s="6" t="s">
        <v>3</v>
      </c>
      <c r="G30" s="7" t="s">
        <v>4</v>
      </c>
      <c r="H30" s="8" t="s">
        <v>3</v>
      </c>
      <c r="I30" s="7" t="s">
        <v>4</v>
      </c>
      <c r="J30" s="8" t="s">
        <v>3</v>
      </c>
    </row>
    <row r="31" spans="1:10" ht="12.75" customHeight="1" x14ac:dyDescent="0.25">
      <c r="A31" s="5"/>
      <c r="B31" s="6" t="s">
        <v>5</v>
      </c>
      <c r="C31" s="6" t="s">
        <v>5</v>
      </c>
      <c r="D31" s="6" t="s">
        <v>31</v>
      </c>
      <c r="E31" s="7" t="s">
        <v>31</v>
      </c>
      <c r="F31" s="6" t="s">
        <v>32</v>
      </c>
      <c r="G31" s="7" t="s">
        <v>32</v>
      </c>
      <c r="H31" s="8" t="s">
        <v>33</v>
      </c>
      <c r="I31" s="7" t="s">
        <v>33</v>
      </c>
      <c r="J31" s="8" t="s">
        <v>33</v>
      </c>
    </row>
    <row r="32" spans="1:10" ht="12.75" customHeight="1" x14ac:dyDescent="0.3">
      <c r="A32" s="25" t="s">
        <v>34</v>
      </c>
      <c r="B32" s="12"/>
      <c r="C32" s="12"/>
      <c r="D32" s="12"/>
      <c r="E32" s="13"/>
      <c r="F32" s="12"/>
      <c r="G32" s="13"/>
      <c r="H32" s="14"/>
      <c r="I32" s="13"/>
      <c r="J32" s="14"/>
    </row>
    <row r="33" spans="1:10" ht="12.75" customHeight="1" x14ac:dyDescent="0.3">
      <c r="A33" s="5" t="s">
        <v>35</v>
      </c>
      <c r="B33" s="12">
        <v>350</v>
      </c>
      <c r="C33" s="12">
        <v>714.95</v>
      </c>
      <c r="D33" s="12">
        <v>725</v>
      </c>
      <c r="E33" s="13">
        <f>149.22+34.74+34.74+34.74+34.74+42.24+35.99+36.7+73.62+51.47-13-13</f>
        <v>502.20000000000005</v>
      </c>
      <c r="F33" s="12">
        <v>725</v>
      </c>
      <c r="G33" s="13">
        <f>34.74+34.74+34.74+15+192.72</f>
        <v>311.94</v>
      </c>
      <c r="H33" s="26">
        <v>0</v>
      </c>
      <c r="I33" s="13">
        <f>+'[1]2018-19 Monthly Actuals'!O37</f>
        <v>0</v>
      </c>
      <c r="J33" s="26">
        <f>+'[1]2019-20 Monthly Budgets '!P38</f>
        <v>0</v>
      </c>
    </row>
    <row r="34" spans="1:10" ht="12.75" customHeight="1" x14ac:dyDescent="0.3">
      <c r="A34" s="5" t="s">
        <v>36</v>
      </c>
      <c r="B34" s="12">
        <v>500</v>
      </c>
      <c r="C34" s="12">
        <v>500</v>
      </c>
      <c r="D34" s="12">
        <v>500</v>
      </c>
      <c r="E34" s="13">
        <v>500</v>
      </c>
      <c r="F34" s="12">
        <v>500</v>
      </c>
      <c r="G34" s="13">
        <f>500</f>
        <v>500</v>
      </c>
      <c r="H34" s="26">
        <v>500</v>
      </c>
      <c r="I34" s="13">
        <f>+'[1]2018-19 Monthly Actuals'!O38</f>
        <v>0</v>
      </c>
      <c r="J34" s="26">
        <f>+'[1]2019-20 Monthly Budgets '!P39</f>
        <v>500</v>
      </c>
    </row>
    <row r="35" spans="1:10" ht="12.75" customHeight="1" x14ac:dyDescent="0.3">
      <c r="A35" s="18" t="s">
        <v>37</v>
      </c>
      <c r="B35" s="19">
        <v>10000</v>
      </c>
      <c r="C35" s="19">
        <v>5914.5</v>
      </c>
      <c r="D35" s="19">
        <v>10000</v>
      </c>
      <c r="E35" s="20">
        <f>500+575+950+420-210+1675+3612.5+1600</f>
        <v>9122.5</v>
      </c>
      <c r="F35" s="19">
        <v>10000</v>
      </c>
      <c r="G35" s="20">
        <f>537.5+875+1750+1350+800+750-400+1050</f>
        <v>6712.5</v>
      </c>
      <c r="H35" s="26">
        <v>10000</v>
      </c>
      <c r="I35" s="13">
        <f>+'[1]2018-19 Monthly Actuals'!O39</f>
        <v>5911.5</v>
      </c>
      <c r="J35" s="26">
        <f>+'[1]2019-20 Monthly Budgets '!P40</f>
        <v>7000</v>
      </c>
    </row>
    <row r="36" spans="1:10" ht="12.75" customHeight="1" x14ac:dyDescent="0.3">
      <c r="A36" s="18" t="s">
        <v>38</v>
      </c>
      <c r="B36" s="19">
        <v>1297</v>
      </c>
      <c r="C36" s="19"/>
      <c r="D36" s="19">
        <v>1593.5</v>
      </c>
      <c r="E36" s="20">
        <f>751.5+852</f>
        <v>1603.5</v>
      </c>
      <c r="F36" s="19">
        <f>325+362.5</f>
        <v>687.5</v>
      </c>
      <c r="G36" s="20">
        <v>687.5</v>
      </c>
      <c r="H36" s="26">
        <v>0</v>
      </c>
      <c r="I36" s="13">
        <f>+'[1]2018-19 Monthly Actuals'!O40</f>
        <v>0</v>
      </c>
      <c r="J36" s="26">
        <f>+'[1]2019-20 Monthly Budgets '!P41</f>
        <v>0</v>
      </c>
    </row>
    <row r="37" spans="1:10" ht="12.75" customHeight="1" x14ac:dyDescent="0.3">
      <c r="A37" s="5" t="s">
        <v>39</v>
      </c>
      <c r="B37" s="12">
        <v>60</v>
      </c>
      <c r="C37" s="12"/>
      <c r="D37" s="12">
        <v>60</v>
      </c>
      <c r="E37" s="13">
        <v>60</v>
      </c>
      <c r="F37" s="12">
        <v>60</v>
      </c>
      <c r="G37" s="13">
        <v>60</v>
      </c>
      <c r="H37" s="26">
        <v>60</v>
      </c>
      <c r="I37" s="13">
        <f>+'[1]2018-19 Monthly Actuals'!O41</f>
        <v>650</v>
      </c>
      <c r="J37" s="26">
        <f>+'[1]2019-20 Monthly Budgets '!P42</f>
        <v>350</v>
      </c>
    </row>
    <row r="38" spans="1:10" ht="12.75" customHeight="1" x14ac:dyDescent="0.3">
      <c r="A38" s="5" t="s">
        <v>40</v>
      </c>
      <c r="B38" s="12">
        <v>2000</v>
      </c>
      <c r="C38" s="12"/>
      <c r="D38" s="12">
        <v>2000</v>
      </c>
      <c r="E38" s="13">
        <v>0</v>
      </c>
      <c r="F38" s="12">
        <v>1000</v>
      </c>
      <c r="G38" s="13">
        <f>987.68</f>
        <v>987.68</v>
      </c>
      <c r="H38" s="26">
        <v>1000</v>
      </c>
      <c r="I38" s="13">
        <f>+'[1]2018-19 Monthly Actuals'!O42</f>
        <v>0</v>
      </c>
      <c r="J38" s="26">
        <f>+'[1]2019-20 Monthly Budgets '!P43</f>
        <v>1000</v>
      </c>
    </row>
    <row r="39" spans="1:10" ht="12.75" customHeight="1" x14ac:dyDescent="0.3">
      <c r="A39" s="5" t="s">
        <v>41</v>
      </c>
      <c r="B39" s="12">
        <v>1000</v>
      </c>
      <c r="C39" s="12"/>
      <c r="D39" s="12">
        <v>100</v>
      </c>
      <c r="E39" s="13">
        <f>151.26+391.7</f>
        <v>542.96</v>
      </c>
      <c r="F39" s="12">
        <v>400</v>
      </c>
      <c r="G39" s="13">
        <f>82.86+124.76</f>
        <v>207.62</v>
      </c>
      <c r="H39" s="26">
        <v>400</v>
      </c>
      <c r="I39" s="13">
        <f>+'[1]2018-19 Monthly Actuals'!O43</f>
        <v>250</v>
      </c>
      <c r="J39" s="26">
        <f>+'[1]2019-20 Monthly Budgets '!P44</f>
        <v>250</v>
      </c>
    </row>
    <row r="40" spans="1:10" ht="12.75" customHeight="1" x14ac:dyDescent="0.25">
      <c r="A40" s="5"/>
      <c r="B40" s="27">
        <f t="shared" ref="B40:J40" si="4">SUM(B33:B39)</f>
        <v>15207</v>
      </c>
      <c r="C40" s="27">
        <f t="shared" si="4"/>
        <v>7129.45</v>
      </c>
      <c r="D40" s="27">
        <f t="shared" si="4"/>
        <v>14978.5</v>
      </c>
      <c r="E40" s="27">
        <f t="shared" si="4"/>
        <v>12331.16</v>
      </c>
      <c r="F40" s="27">
        <f t="shared" si="4"/>
        <v>13372.5</v>
      </c>
      <c r="G40" s="27">
        <f t="shared" si="4"/>
        <v>9467.2400000000016</v>
      </c>
      <c r="H40" s="27">
        <f t="shared" si="4"/>
        <v>11960</v>
      </c>
      <c r="I40" s="27">
        <f>SUM(I33:I39)</f>
        <v>6811.5</v>
      </c>
      <c r="J40" s="27">
        <f t="shared" si="4"/>
        <v>9100</v>
      </c>
    </row>
    <row r="41" spans="1:10" ht="12.75" customHeight="1" x14ac:dyDescent="0.3">
      <c r="A41" s="17" t="s">
        <v>42</v>
      </c>
      <c r="B41" s="12"/>
      <c r="C41" s="12"/>
      <c r="D41" s="12"/>
      <c r="E41" s="13"/>
      <c r="F41" s="12"/>
      <c r="G41" s="13"/>
      <c r="H41" s="14"/>
      <c r="I41" s="13"/>
      <c r="J41" s="14"/>
    </row>
    <row r="42" spans="1:10" ht="12.75" customHeight="1" x14ac:dyDescent="0.3">
      <c r="A42" s="5" t="s">
        <v>43</v>
      </c>
      <c r="B42" s="12">
        <v>500</v>
      </c>
      <c r="C42" s="12">
        <v>50</v>
      </c>
      <c r="D42" s="12">
        <v>300</v>
      </c>
      <c r="E42" s="13">
        <v>0</v>
      </c>
      <c r="F42" s="12">
        <v>0</v>
      </c>
      <c r="G42" s="13">
        <f>16.59</f>
        <v>16.59</v>
      </c>
      <c r="H42" s="26">
        <v>50</v>
      </c>
      <c r="I42" s="13">
        <f>+'[1]2018-19 Monthly Actuals'!O46</f>
        <v>0</v>
      </c>
      <c r="J42" s="26">
        <f>+'[1]2019-20 Monthly Budgets '!P47</f>
        <v>50</v>
      </c>
    </row>
    <row r="43" spans="1:10" ht="12.75" customHeight="1" x14ac:dyDescent="0.3">
      <c r="A43" s="5" t="s">
        <v>18</v>
      </c>
      <c r="B43" s="12"/>
      <c r="C43" s="12"/>
      <c r="D43" s="12"/>
      <c r="E43" s="13"/>
      <c r="F43" s="12"/>
      <c r="G43" s="13"/>
      <c r="H43" s="14"/>
      <c r="I43" s="13"/>
      <c r="J43" s="14">
        <v>100</v>
      </c>
    </row>
    <row r="44" spans="1:10" ht="12.75" customHeight="1" x14ac:dyDescent="0.3">
      <c r="A44" s="5" t="s">
        <v>44</v>
      </c>
      <c r="B44" s="12">
        <v>8000</v>
      </c>
      <c r="C44" s="12">
        <v>8236.85</v>
      </c>
      <c r="D44" s="12">
        <v>8000</v>
      </c>
      <c r="E44" s="13">
        <f>202+7760.13</f>
        <v>7962.13</v>
      </c>
      <c r="F44" s="12">
        <v>8000</v>
      </c>
      <c r="G44" s="13">
        <f>7613.15+45.26+195.39</f>
        <v>7853.8</v>
      </c>
      <c r="H44" s="26">
        <v>8000</v>
      </c>
      <c r="I44" s="13">
        <f>+'[1]2018-19 Monthly Actuals'!O47</f>
        <v>7719.72</v>
      </c>
      <c r="J44" s="26">
        <f>+'[1]2019-20 Monthly Budgets '!P49</f>
        <v>8000</v>
      </c>
    </row>
    <row r="45" spans="1:10" ht="12.75" customHeight="1" x14ac:dyDescent="0.3">
      <c r="A45" s="5" t="s">
        <v>45</v>
      </c>
      <c r="B45" s="12"/>
      <c r="C45" s="12"/>
      <c r="D45" s="12">
        <v>0</v>
      </c>
      <c r="E45" s="13">
        <f>31.57+86.2+62.99+50</f>
        <v>230.76000000000002</v>
      </c>
      <c r="F45" s="12">
        <v>250</v>
      </c>
      <c r="G45" s="13">
        <v>0</v>
      </c>
      <c r="H45" s="26">
        <v>250</v>
      </c>
      <c r="I45" s="13">
        <f>+'[1]2018-19 Monthly Actuals'!O48</f>
        <v>200</v>
      </c>
      <c r="J45" s="26">
        <f>+'[1]2019-20 Monthly Budgets '!P50</f>
        <v>200</v>
      </c>
    </row>
    <row r="46" spans="1:10" ht="12.75" customHeight="1" x14ac:dyDescent="0.3">
      <c r="A46" s="5" t="s">
        <v>46</v>
      </c>
      <c r="B46" s="12">
        <v>20000</v>
      </c>
      <c r="C46" s="12">
        <v>18202.830000000002</v>
      </c>
      <c r="D46" s="12">
        <v>18000</v>
      </c>
      <c r="E46" s="13">
        <f>2500+93.9+244.58+235+235+27.41+180+245+20+20+103.96+295.03+73.97+7687.5+249+180.86+522.64+3397.5+15+14.16+31.52+1031.57+183.2+3397.5+165+253.59+901.62</f>
        <v>22304.510000000002</v>
      </c>
      <c r="F46" s="12">
        <v>17000</v>
      </c>
      <c r="G46" s="13">
        <f>500+20+20+120+120+36.81+176.07+45.23+103.9+61.5+153.3+257.02+4000+12920+25.2+33.19+805.2+345</f>
        <v>19742.420000000002</v>
      </c>
      <c r="H46" s="26">
        <v>20000</v>
      </c>
      <c r="I46" s="13">
        <f>+'[1]2018-19 Monthly Actuals'!O49</f>
        <v>23889.039999999997</v>
      </c>
      <c r="J46" s="26">
        <f>+'[1]2019-20 Monthly Budgets '!P51</f>
        <v>21000</v>
      </c>
    </row>
    <row r="47" spans="1:10" ht="12.75" customHeight="1" x14ac:dyDescent="0.3">
      <c r="A47" s="5" t="s">
        <v>47</v>
      </c>
      <c r="B47" s="12"/>
      <c r="C47" s="12"/>
      <c r="D47" s="12"/>
      <c r="E47" s="13"/>
      <c r="F47" s="12">
        <f>345+150+406.01</f>
        <v>901.01</v>
      </c>
      <c r="G47" s="13">
        <f>345+150+406.01</f>
        <v>901.01</v>
      </c>
      <c r="H47" s="26">
        <v>0</v>
      </c>
      <c r="I47" s="13">
        <f>+'[1]2018-19 Monthly Actuals'!O50</f>
        <v>0</v>
      </c>
      <c r="J47" s="26">
        <f>+'[1]2019-20 Monthly Budgets '!P52</f>
        <v>0</v>
      </c>
    </row>
    <row r="48" spans="1:10" ht="12.75" customHeight="1" x14ac:dyDescent="0.3">
      <c r="A48" s="5" t="s">
        <v>48</v>
      </c>
      <c r="B48" s="12">
        <v>1300</v>
      </c>
      <c r="C48" s="12">
        <v>1660.58</v>
      </c>
      <c r="D48" s="12">
        <v>0</v>
      </c>
      <c r="E48" s="13">
        <v>574</v>
      </c>
      <c r="F48" s="12">
        <v>0</v>
      </c>
      <c r="G48" s="13">
        <v>0</v>
      </c>
      <c r="H48" s="26">
        <v>0</v>
      </c>
      <c r="I48" s="13">
        <f>+'[1]2018-19 Monthly Actuals'!O52</f>
        <v>0</v>
      </c>
      <c r="J48" s="26">
        <f>+'[1]2019-20 Monthly Budgets '!P53</f>
        <v>0</v>
      </c>
    </row>
    <row r="49" spans="1:10" ht="12.75" customHeight="1" x14ac:dyDescent="0.25">
      <c r="A49" s="28" t="s">
        <v>49</v>
      </c>
      <c r="B49" s="29">
        <f t="shared" ref="B49:J49" si="5">SUM(B42:B48)</f>
        <v>29800</v>
      </c>
      <c r="C49" s="29">
        <f t="shared" si="5"/>
        <v>28150.260000000002</v>
      </c>
      <c r="D49" s="29">
        <f t="shared" si="5"/>
        <v>26300</v>
      </c>
      <c r="E49" s="29">
        <f t="shared" si="5"/>
        <v>31071.4</v>
      </c>
      <c r="F49" s="29">
        <f t="shared" si="5"/>
        <v>26151.01</v>
      </c>
      <c r="G49" s="29">
        <f t="shared" si="5"/>
        <v>28513.82</v>
      </c>
      <c r="H49" s="29">
        <f t="shared" si="5"/>
        <v>28300</v>
      </c>
      <c r="I49" s="29">
        <f t="shared" si="5"/>
        <v>31808.76</v>
      </c>
      <c r="J49" s="29">
        <f t="shared" si="5"/>
        <v>29350</v>
      </c>
    </row>
    <row r="50" spans="1:10" ht="12.75" customHeight="1" x14ac:dyDescent="0.3">
      <c r="A50" s="5" t="s">
        <v>50</v>
      </c>
      <c r="B50" s="12">
        <v>250</v>
      </c>
      <c r="C50" s="12">
        <v>179.98</v>
      </c>
      <c r="D50" s="12">
        <v>250</v>
      </c>
      <c r="E50" s="13">
        <f>50+75+50</f>
        <v>175</v>
      </c>
      <c r="F50" s="12">
        <v>250</v>
      </c>
      <c r="G50" s="13">
        <f>110+75+105.95+105.95+55.95+100+15.11</f>
        <v>567.95999999999992</v>
      </c>
      <c r="H50" s="26">
        <v>250</v>
      </c>
      <c r="I50" s="13">
        <f>+'[1]2018-19 Monthly Actuals'!O54</f>
        <v>225</v>
      </c>
      <c r="J50" s="26">
        <f>+'[1]2019-20 Monthly Budgets '!P55</f>
        <v>500</v>
      </c>
    </row>
    <row r="51" spans="1:10" ht="12.75" customHeight="1" x14ac:dyDescent="0.3">
      <c r="A51" s="5" t="s">
        <v>51</v>
      </c>
      <c r="B51" s="12">
        <v>1500</v>
      </c>
      <c r="C51" s="12">
        <v>993.53</v>
      </c>
      <c r="D51" s="12">
        <v>1500</v>
      </c>
      <c r="E51" s="13">
        <v>1500</v>
      </c>
      <c r="F51" s="12">
        <v>1000</v>
      </c>
      <c r="G51" s="13">
        <v>980.23</v>
      </c>
      <c r="H51" s="26">
        <v>1000</v>
      </c>
      <c r="I51" s="13">
        <f>+'[1]2018-19 Monthly Actuals'!O55</f>
        <v>1000</v>
      </c>
      <c r="J51" s="26">
        <f>+'[1]2019-20 Monthly Budgets '!P56</f>
        <v>1000</v>
      </c>
    </row>
    <row r="52" spans="1:10" ht="12.75" customHeight="1" x14ac:dyDescent="0.3">
      <c r="A52" s="5" t="s">
        <v>52</v>
      </c>
      <c r="B52" s="12">
        <v>400</v>
      </c>
      <c r="C52" s="12">
        <v>225</v>
      </c>
      <c r="D52" s="12">
        <v>300</v>
      </c>
      <c r="E52" s="13">
        <f>200</f>
        <v>200</v>
      </c>
      <c r="F52" s="12">
        <v>200</v>
      </c>
      <c r="G52" s="13">
        <v>200</v>
      </c>
      <c r="H52" s="26">
        <v>200</v>
      </c>
      <c r="I52" s="13">
        <f>+'[1]2018-19 Monthly Actuals'!O56</f>
        <v>200</v>
      </c>
      <c r="J52" s="26">
        <f>+'[1]2019-20 Monthly Budgets '!P57</f>
        <v>200</v>
      </c>
    </row>
    <row r="53" spans="1:10" ht="12.75" customHeight="1" x14ac:dyDescent="0.3">
      <c r="A53" s="18" t="s">
        <v>53</v>
      </c>
      <c r="B53" s="19">
        <v>8000</v>
      </c>
      <c r="C53" s="19">
        <v>6992.8</v>
      </c>
      <c r="D53" s="19">
        <v>8000</v>
      </c>
      <c r="E53" s="20">
        <f>283.31+487.77-37.8+149.69+69.9+80.04+72.84+53.43+223.92+305.59+264.76+144.18+122.76+244+270.2+240.2+40.99</f>
        <v>3015.7799999999997</v>
      </c>
      <c r="F53" s="19">
        <v>5000</v>
      </c>
      <c r="G53" s="20">
        <f>100.77+263.2+344.75+8*(297.5)+429.99+591</f>
        <v>4109.71</v>
      </c>
      <c r="H53" s="26">
        <v>5000</v>
      </c>
      <c r="I53" s="13">
        <f>+'[1]2018-19 Monthly Actuals'!O57</f>
        <v>65.89</v>
      </c>
      <c r="J53" s="26">
        <f>+'[1]2019-20 Monthly Budgets '!P58</f>
        <v>5000</v>
      </c>
    </row>
    <row r="54" spans="1:10" ht="12.75" customHeight="1" x14ac:dyDescent="0.3">
      <c r="A54" s="5" t="s">
        <v>54</v>
      </c>
      <c r="B54" s="12">
        <v>0</v>
      </c>
      <c r="C54" s="12">
        <v>370</v>
      </c>
      <c r="D54" s="12">
        <v>1240</v>
      </c>
      <c r="E54" s="13">
        <f>356.5+1240-356.5</f>
        <v>1240</v>
      </c>
      <c r="F54" s="12">
        <v>500</v>
      </c>
      <c r="G54" s="13">
        <f>485</f>
        <v>485</v>
      </c>
      <c r="H54" s="26">
        <v>591</v>
      </c>
      <c r="I54" s="13">
        <f>+'[1]2018-19 Monthly Actuals'!O58</f>
        <v>0</v>
      </c>
      <c r="J54" s="26">
        <f>+'[1]2019-20 Monthly Budgets '!P59</f>
        <v>0</v>
      </c>
    </row>
    <row r="55" spans="1:10" ht="12.75" customHeight="1" x14ac:dyDescent="0.3">
      <c r="A55" s="5" t="s">
        <v>55</v>
      </c>
      <c r="B55" s="12">
        <v>500</v>
      </c>
      <c r="C55" s="12">
        <v>337.54</v>
      </c>
      <c r="D55" s="12">
        <v>500</v>
      </c>
      <c r="E55" s="13">
        <f>280</f>
        <v>280</v>
      </c>
      <c r="F55" s="12">
        <v>400</v>
      </c>
      <c r="G55" s="13">
        <f>300</f>
        <v>300</v>
      </c>
      <c r="H55" s="26">
        <v>400</v>
      </c>
      <c r="I55" s="13">
        <f>+'[1]2018-19 Monthly Actuals'!O59</f>
        <v>0</v>
      </c>
      <c r="J55" s="26">
        <f>+'[1]2019-20 Monthly Budgets '!P60</f>
        <v>0</v>
      </c>
    </row>
    <row r="56" spans="1:10" ht="12.75" customHeight="1" x14ac:dyDescent="0.3">
      <c r="A56" s="5" t="s">
        <v>56</v>
      </c>
      <c r="B56" s="12">
        <v>100</v>
      </c>
      <c r="C56" s="12">
        <v>100</v>
      </c>
      <c r="D56" s="12">
        <v>100</v>
      </c>
      <c r="E56" s="13">
        <f>20+20</f>
        <v>40</v>
      </c>
      <c r="F56" s="12">
        <v>100</v>
      </c>
      <c r="G56" s="13">
        <v>100</v>
      </c>
      <c r="H56" s="26">
        <v>100</v>
      </c>
      <c r="I56" s="13">
        <f>+'[1]2018-19 Monthly Actuals'!O60</f>
        <v>0</v>
      </c>
      <c r="J56" s="26">
        <f>+'[1]2019-20 Monthly Budgets '!P61</f>
        <v>100</v>
      </c>
    </row>
    <row r="57" spans="1:10" ht="12.75" customHeight="1" x14ac:dyDescent="0.3">
      <c r="A57" s="5" t="s">
        <v>57</v>
      </c>
      <c r="B57" s="12">
        <v>500</v>
      </c>
      <c r="C57" s="12">
        <v>536.35</v>
      </c>
      <c r="D57" s="12">
        <v>600</v>
      </c>
      <c r="E57" s="13">
        <f>89.01+134.34+107.96+141.25+60.84+96+350+82.87</f>
        <v>1062.27</v>
      </c>
      <c r="F57" s="12">
        <v>600</v>
      </c>
      <c r="G57" s="13">
        <f>54.43+30.94+54.22+83.43+46.9</f>
        <v>269.92</v>
      </c>
      <c r="H57" s="26">
        <v>500</v>
      </c>
      <c r="I57" s="13">
        <f>+'[1]2018-19 Monthly Actuals'!O61</f>
        <v>0</v>
      </c>
      <c r="J57" s="26">
        <f>+'[1]2019-20 Monthly Budgets '!P62</f>
        <v>500</v>
      </c>
    </row>
    <row r="58" spans="1:10" ht="12.75" customHeight="1" x14ac:dyDescent="0.3">
      <c r="A58" s="5" t="s">
        <v>58</v>
      </c>
      <c r="B58" s="12">
        <v>200</v>
      </c>
      <c r="C58" s="12">
        <v>1392.43</v>
      </c>
      <c r="D58" s="12">
        <v>200</v>
      </c>
      <c r="E58" s="13">
        <f>8.5</f>
        <v>8.5</v>
      </c>
      <c r="F58" s="12">
        <v>200</v>
      </c>
      <c r="G58" s="13">
        <f>169.44+40</f>
        <v>209.44</v>
      </c>
      <c r="H58" s="26">
        <v>200</v>
      </c>
      <c r="I58" s="13">
        <f>+'[1]2018-19 Monthly Actuals'!O62</f>
        <v>301.47000000000003</v>
      </c>
      <c r="J58" s="26">
        <f>+'[1]2019-20 Monthly Budgets '!P63</f>
        <v>200</v>
      </c>
    </row>
    <row r="59" spans="1:10" ht="12.75" customHeight="1" x14ac:dyDescent="0.3">
      <c r="A59" s="5" t="s">
        <v>59</v>
      </c>
      <c r="B59" s="12">
        <v>500</v>
      </c>
      <c r="C59" s="12">
        <v>413.72</v>
      </c>
      <c r="D59" s="12">
        <v>500</v>
      </c>
      <c r="E59" s="13">
        <f>96.1+18.63+29.98+9.8+56.8+106.86</f>
        <v>318.17</v>
      </c>
      <c r="F59" s="12">
        <v>400</v>
      </c>
      <c r="G59" s="13">
        <f>9.8+9.8+200.05+10+36.28+10</f>
        <v>275.93</v>
      </c>
      <c r="H59" s="26">
        <v>400</v>
      </c>
      <c r="I59" s="13">
        <f>+'[1]2018-19 Monthly Actuals'!O63</f>
        <v>646.86999999999989</v>
      </c>
      <c r="J59" s="26">
        <f>+'[1]2019-20 Monthly Budgets '!P64</f>
        <v>475</v>
      </c>
    </row>
    <row r="60" spans="1:10" ht="12.75" customHeight="1" x14ac:dyDescent="0.25">
      <c r="A60" s="17" t="s">
        <v>60</v>
      </c>
      <c r="B60" s="27">
        <f t="shared" ref="B60:J60" si="6">SUM(B50:B59)</f>
        <v>11950</v>
      </c>
      <c r="C60" s="27">
        <f t="shared" si="6"/>
        <v>11541.35</v>
      </c>
      <c r="D60" s="27">
        <f t="shared" si="6"/>
        <v>13190</v>
      </c>
      <c r="E60" s="27">
        <f t="shared" si="6"/>
        <v>7839.7199999999993</v>
      </c>
      <c r="F60" s="27">
        <f t="shared" si="6"/>
        <v>8650</v>
      </c>
      <c r="G60" s="27">
        <f t="shared" si="6"/>
        <v>7498.19</v>
      </c>
      <c r="H60" s="27">
        <f t="shared" si="6"/>
        <v>8641</v>
      </c>
      <c r="I60" s="27">
        <f>SUM(I50:I59)</f>
        <v>2439.23</v>
      </c>
      <c r="J60" s="27">
        <f t="shared" si="6"/>
        <v>7975</v>
      </c>
    </row>
    <row r="61" spans="1:10" ht="12.75" customHeight="1" x14ac:dyDescent="0.3">
      <c r="A61" s="5" t="s">
        <v>61</v>
      </c>
      <c r="B61" s="12">
        <v>8500</v>
      </c>
      <c r="C61" s="12">
        <v>6520</v>
      </c>
      <c r="D61" s="12">
        <v>8500</v>
      </c>
      <c r="E61" s="13">
        <f>541.8+500+1500+1550+1150+3314.5-2700-180+2000+335</f>
        <v>8011.2999999999993</v>
      </c>
      <c r="F61" s="12">
        <v>8500</v>
      </c>
      <c r="G61" s="13">
        <f>2600+921.5+75+320+812.5+450+812.5+1200+450+248.16+960</f>
        <v>8849.66</v>
      </c>
      <c r="H61" s="26">
        <v>8500</v>
      </c>
      <c r="I61" s="13">
        <f>+'[1]2018-19 Monthly Actuals'!O66</f>
        <v>10272</v>
      </c>
      <c r="J61" s="26">
        <f>+'[1]2019-20 Monthly Budgets '!P67</f>
        <v>10000</v>
      </c>
    </row>
    <row r="62" spans="1:10" ht="12.75" customHeight="1" x14ac:dyDescent="0.3">
      <c r="A62" s="5" t="s">
        <v>62</v>
      </c>
      <c r="B62" s="12">
        <v>4000</v>
      </c>
      <c r="C62" s="12">
        <v>3750</v>
      </c>
      <c r="D62" s="12">
        <v>4000</v>
      </c>
      <c r="E62" s="13">
        <f>2500+406.35+948.14</f>
        <v>3854.49</v>
      </c>
      <c r="F62" s="12">
        <v>4000</v>
      </c>
      <c r="G62" s="13">
        <f>1600+825+600</f>
        <v>3025</v>
      </c>
      <c r="H62" s="26">
        <v>0</v>
      </c>
      <c r="I62" s="13">
        <v>0</v>
      </c>
      <c r="J62" s="26">
        <f>+'[1]2019-20 Monthly Budgets '!P68</f>
        <v>3000</v>
      </c>
    </row>
    <row r="63" spans="1:10" ht="12.75" customHeight="1" x14ac:dyDescent="0.3">
      <c r="A63" s="5" t="s">
        <v>63</v>
      </c>
      <c r="B63" s="12">
        <v>4000</v>
      </c>
      <c r="C63" s="12">
        <v>4000</v>
      </c>
      <c r="D63" s="12">
        <v>4000</v>
      </c>
      <c r="E63" s="13">
        <v>4000</v>
      </c>
      <c r="F63" s="12">
        <v>0</v>
      </c>
      <c r="G63" s="13">
        <v>0</v>
      </c>
      <c r="H63" s="26">
        <v>0</v>
      </c>
      <c r="I63" s="13">
        <f>+'[1]2018-19 Monthly Actuals'!O67</f>
        <v>0</v>
      </c>
      <c r="J63" s="26">
        <f>+'[1]2019-20 Monthly Budgets '!P69</f>
        <v>0</v>
      </c>
    </row>
    <row r="64" spans="1:10" ht="12.75" customHeight="1" x14ac:dyDescent="0.3">
      <c r="A64" s="30" t="s">
        <v>64</v>
      </c>
      <c r="B64" s="12">
        <v>6800</v>
      </c>
      <c r="C64" s="12">
        <v>6686</v>
      </c>
      <c r="D64" s="12">
        <v>6800</v>
      </c>
      <c r="E64" s="13">
        <f>302.29+101.4+400+493+150+1274+100+40.3+475+335+42.3+650+103.12+96.15+550+430+180</f>
        <v>5722.56</v>
      </c>
      <c r="F64" s="12">
        <v>8000</v>
      </c>
      <c r="G64" s="13">
        <f>150+400+39.84+320+86.4+63.92+16+1188+119.31+895+150+19.84+291.96-895+235.92+525+642+150+500+1250+750+280+180+430+209</f>
        <v>7997.1900000000005</v>
      </c>
      <c r="H64" s="26">
        <v>12000</v>
      </c>
      <c r="I64" s="13">
        <f>+'[1]2018-19 Monthly Actuals'!O69</f>
        <v>5293.74</v>
      </c>
      <c r="J64" s="26">
        <f>+'[1]2019-20 Monthly Budgets '!P70</f>
        <v>7999.9999999999991</v>
      </c>
    </row>
    <row r="65" spans="1:10" ht="12.75" customHeight="1" x14ac:dyDescent="0.3">
      <c r="A65" s="30" t="s">
        <v>65</v>
      </c>
      <c r="B65" s="12"/>
      <c r="C65" s="12"/>
      <c r="D65" s="12">
        <v>0</v>
      </c>
      <c r="E65" s="13">
        <v>0</v>
      </c>
      <c r="F65" s="12">
        <v>450</v>
      </c>
      <c r="G65" s="13">
        <v>0</v>
      </c>
      <c r="H65" s="26">
        <v>280</v>
      </c>
      <c r="I65" s="13">
        <v>0</v>
      </c>
      <c r="J65" s="26">
        <f>+'[1]2019-20 Monthly Budgets '!P71</f>
        <v>0</v>
      </c>
    </row>
    <row r="66" spans="1:10" ht="12.75" customHeight="1" x14ac:dyDescent="0.25">
      <c r="A66" s="28" t="s">
        <v>66</v>
      </c>
      <c r="B66" s="29">
        <f t="shared" ref="B66:I66" si="7">SUM(B61:B65)</f>
        <v>23300</v>
      </c>
      <c r="C66" s="29">
        <f t="shared" si="7"/>
        <v>20956</v>
      </c>
      <c r="D66" s="29">
        <f t="shared" si="7"/>
        <v>23300</v>
      </c>
      <c r="E66" s="29">
        <f t="shared" si="7"/>
        <v>21588.35</v>
      </c>
      <c r="F66" s="29">
        <f t="shared" si="7"/>
        <v>20950</v>
      </c>
      <c r="G66" s="29">
        <f t="shared" si="7"/>
        <v>19871.849999999999</v>
      </c>
      <c r="H66" s="29">
        <f t="shared" si="7"/>
        <v>20780</v>
      </c>
      <c r="I66" s="29">
        <f t="shared" si="7"/>
        <v>15565.74</v>
      </c>
      <c r="J66" s="29">
        <f t="shared" ref="J66" si="8">SUM(J61:J65)</f>
        <v>21000</v>
      </c>
    </row>
    <row r="67" spans="1:10" ht="12.75" customHeight="1" x14ac:dyDescent="0.3">
      <c r="A67" s="17" t="s">
        <v>67</v>
      </c>
      <c r="B67" s="12"/>
      <c r="C67" s="12"/>
      <c r="D67" s="12"/>
      <c r="E67" s="13"/>
      <c r="F67" s="12"/>
      <c r="G67" s="13"/>
      <c r="H67" s="14"/>
      <c r="I67" s="13"/>
      <c r="J67" s="14"/>
    </row>
    <row r="68" spans="1:10" ht="12.75" customHeight="1" x14ac:dyDescent="0.3">
      <c r="A68" s="5" t="s">
        <v>68</v>
      </c>
      <c r="B68" s="12">
        <v>700</v>
      </c>
      <c r="C68" s="12">
        <v>1450.34</v>
      </c>
      <c r="D68" s="12">
        <v>700</v>
      </c>
      <c r="E68" s="13">
        <f>100+820</f>
        <v>920</v>
      </c>
      <c r="F68" s="12">
        <v>700</v>
      </c>
      <c r="G68" s="13">
        <f>55.2+22.63+40.97+525+75.78</f>
        <v>719.57999999999993</v>
      </c>
      <c r="H68" s="26">
        <v>700</v>
      </c>
      <c r="I68" s="13">
        <f>+'[1]2018-19 Monthly Actuals'!O73</f>
        <v>513.36</v>
      </c>
      <c r="J68" s="26">
        <f>+'[1]2019-20 Monthly Budgets '!P74</f>
        <v>700</v>
      </c>
    </row>
    <row r="69" spans="1:10" ht="12.75" customHeight="1" x14ac:dyDescent="0.3">
      <c r="A69" s="31" t="s">
        <v>69</v>
      </c>
      <c r="B69" s="19">
        <v>200</v>
      </c>
      <c r="C69" s="19">
        <v>200</v>
      </c>
      <c r="D69" s="19">
        <v>0</v>
      </c>
      <c r="E69" s="20">
        <v>0</v>
      </c>
      <c r="F69" s="19">
        <v>0</v>
      </c>
      <c r="G69" s="20">
        <v>0</v>
      </c>
      <c r="H69" s="26">
        <v>0</v>
      </c>
      <c r="I69" s="13">
        <f>+'[1]2018-19 Monthly Actuals'!O74</f>
        <v>0</v>
      </c>
      <c r="J69" s="26">
        <f>+'[1]2019-20 Monthly Budgets '!P75</f>
        <v>500</v>
      </c>
    </row>
    <row r="70" spans="1:10" ht="12.75" customHeight="1" x14ac:dyDescent="0.3">
      <c r="A70" s="32" t="s">
        <v>70</v>
      </c>
      <c r="B70" s="12">
        <v>1400</v>
      </c>
      <c r="C70" s="12">
        <v>987.49</v>
      </c>
      <c r="D70" s="12">
        <v>1100</v>
      </c>
      <c r="E70" s="13">
        <f>1000+35+94.11</f>
        <v>1129.1099999999999</v>
      </c>
      <c r="F70" s="12">
        <v>1100</v>
      </c>
      <c r="G70" s="13">
        <f>900+112+43.18</f>
        <v>1055.18</v>
      </c>
      <c r="H70" s="26">
        <v>1200</v>
      </c>
      <c r="I70" s="13">
        <f>+'[1]2018-19 Monthly Actuals'!O76</f>
        <v>1161.81</v>
      </c>
      <c r="J70" s="26">
        <f>+'[1]2019-20 Monthly Budgets '!P76</f>
        <v>1200</v>
      </c>
    </row>
    <row r="71" spans="1:10" ht="12.75" customHeight="1" x14ac:dyDescent="0.3">
      <c r="A71" s="5" t="s">
        <v>71</v>
      </c>
      <c r="B71" s="12">
        <v>300</v>
      </c>
      <c r="C71" s="12">
        <v>243.19</v>
      </c>
      <c r="D71" s="12">
        <v>300</v>
      </c>
      <c r="E71" s="13">
        <f>89.92+32.97+50.85+51.97</f>
        <v>225.71</v>
      </c>
      <c r="F71" s="12">
        <v>300</v>
      </c>
      <c r="G71" s="13">
        <f>159.37</f>
        <v>159.37</v>
      </c>
      <c r="H71" s="26">
        <v>300</v>
      </c>
      <c r="I71" s="13">
        <f>+'[1]2018-19 Monthly Actuals'!O77</f>
        <v>183.79</v>
      </c>
      <c r="J71" s="26">
        <f>+'[1]2019-20 Monthly Budgets '!P77</f>
        <v>300</v>
      </c>
    </row>
    <row r="72" spans="1:10" ht="12.75" customHeight="1" x14ac:dyDescent="0.3">
      <c r="A72" s="5" t="s">
        <v>72</v>
      </c>
      <c r="B72" s="12">
        <v>400</v>
      </c>
      <c r="C72" s="12">
        <v>105.9</v>
      </c>
      <c r="D72" s="12">
        <v>250</v>
      </c>
      <c r="E72" s="13">
        <v>0</v>
      </c>
      <c r="F72" s="12">
        <v>250</v>
      </c>
      <c r="G72" s="13">
        <v>0</v>
      </c>
      <c r="H72" s="26">
        <v>250</v>
      </c>
      <c r="I72" s="13">
        <f>+'[1]2018-19 Monthly Actuals'!O78</f>
        <v>148.72</v>
      </c>
      <c r="J72" s="26">
        <f>+'[1]2019-20 Monthly Budgets '!P78</f>
        <v>250</v>
      </c>
    </row>
    <row r="73" spans="1:10" ht="12.75" customHeight="1" x14ac:dyDescent="0.3">
      <c r="A73" s="5" t="s">
        <v>73</v>
      </c>
      <c r="B73" s="12">
        <v>900</v>
      </c>
      <c r="C73" s="12">
        <v>690.38</v>
      </c>
      <c r="D73" s="12">
        <v>900</v>
      </c>
      <c r="E73" s="13">
        <f>111.5+764.2</f>
        <v>875.7</v>
      </c>
      <c r="F73" s="12">
        <v>900</v>
      </c>
      <c r="G73" s="13">
        <f>195.9+946.95</f>
        <v>1142.8500000000001</v>
      </c>
      <c r="H73" s="26">
        <v>1000</v>
      </c>
      <c r="I73" s="13">
        <f>+'[1]2018-19 Monthly Actuals'!O79</f>
        <v>970</v>
      </c>
      <c r="J73" s="26">
        <f>+'[1]2019-20 Monthly Budgets '!P79</f>
        <v>1200</v>
      </c>
    </row>
    <row r="74" spans="1:10" ht="12.75" customHeight="1" x14ac:dyDescent="0.25">
      <c r="A74" s="28" t="s">
        <v>74</v>
      </c>
      <c r="B74" s="29">
        <f t="shared" ref="B74:J74" si="9">SUM(B68:B73)</f>
        <v>3900</v>
      </c>
      <c r="C74" s="29">
        <f t="shared" si="9"/>
        <v>3677.3</v>
      </c>
      <c r="D74" s="29">
        <f t="shared" si="9"/>
        <v>3250</v>
      </c>
      <c r="E74" s="29">
        <f t="shared" si="9"/>
        <v>3150.5199999999995</v>
      </c>
      <c r="F74" s="29">
        <f t="shared" si="9"/>
        <v>3250</v>
      </c>
      <c r="G74" s="29">
        <f t="shared" si="9"/>
        <v>3076.9800000000005</v>
      </c>
      <c r="H74" s="29">
        <f t="shared" si="9"/>
        <v>3450</v>
      </c>
      <c r="I74" s="29">
        <f t="shared" si="9"/>
        <v>2977.6800000000003</v>
      </c>
      <c r="J74" s="29">
        <f t="shared" si="9"/>
        <v>4150</v>
      </c>
    </row>
    <row r="75" spans="1:10" ht="12.75" customHeight="1" x14ac:dyDescent="0.3">
      <c r="A75" s="5" t="s">
        <v>75</v>
      </c>
      <c r="B75" s="12">
        <v>24088.99</v>
      </c>
      <c r="C75" s="12">
        <v>17220</v>
      </c>
      <c r="D75" s="12">
        <v>15600.74</v>
      </c>
      <c r="E75" s="13">
        <f>1900+1054.49+117.34+79.99+156.2+530+36.81+300+40+530+1298.5+609.5+1298.5</f>
        <v>7951.33</v>
      </c>
      <c r="F75" s="12">
        <f>1627.96+3742.1+3357.2+350.14</f>
        <v>9077.3999999999978</v>
      </c>
      <c r="G75" s="13">
        <f>1627.96+3357.2+3652.1+27.79+301.67</f>
        <v>8966.7200000000012</v>
      </c>
      <c r="H75" s="26">
        <v>9494.7199999999993</v>
      </c>
      <c r="I75" s="13">
        <f>+'[1]2018-19 Monthly Actuals'!O81</f>
        <v>6364.9</v>
      </c>
      <c r="J75" s="26">
        <f>+'[1]2019-20 Monthly Budgets '!P81</f>
        <v>4000</v>
      </c>
    </row>
    <row r="76" spans="1:10" ht="12.75" customHeight="1" x14ac:dyDescent="0.3">
      <c r="A76" s="5" t="s">
        <v>76</v>
      </c>
      <c r="B76" s="12"/>
      <c r="C76" s="12"/>
      <c r="D76" s="12"/>
      <c r="E76" s="13">
        <f>500+600</f>
        <v>1100</v>
      </c>
      <c r="F76" s="12">
        <v>2500</v>
      </c>
      <c r="G76" s="13">
        <f>1200+650+24</f>
        <v>1874</v>
      </c>
      <c r="H76" s="26">
        <v>2500</v>
      </c>
      <c r="I76" s="13">
        <f>+'[1]2018-19 Monthly Actuals'!O82</f>
        <v>0</v>
      </c>
      <c r="J76" s="26">
        <f>+'[1]2019-20 Monthly Budgets '!P82</f>
        <v>1000</v>
      </c>
    </row>
    <row r="77" spans="1:10" ht="12.75" customHeight="1" x14ac:dyDescent="0.3">
      <c r="A77" s="5" t="s">
        <v>77</v>
      </c>
      <c r="B77" s="12">
        <v>0</v>
      </c>
      <c r="C77" s="12"/>
      <c r="D77" s="12">
        <v>0</v>
      </c>
      <c r="E77" s="13">
        <v>0</v>
      </c>
      <c r="F77" s="12">
        <v>0</v>
      </c>
      <c r="G77" s="13">
        <f>37.97+38+193</f>
        <v>268.97000000000003</v>
      </c>
      <c r="H77" s="26">
        <v>125</v>
      </c>
      <c r="I77" s="13">
        <f>+'[1]2018-19 Monthly Actuals'!O83</f>
        <v>438</v>
      </c>
      <c r="J77" s="26">
        <f>+'[1]2019-20 Monthly Budgets '!P83</f>
        <v>400</v>
      </c>
    </row>
    <row r="78" spans="1:10" ht="12.75" customHeight="1" x14ac:dyDescent="0.3">
      <c r="A78" s="5" t="s">
        <v>78</v>
      </c>
      <c r="B78" s="12"/>
      <c r="C78" s="12"/>
      <c r="D78" s="12">
        <v>1000</v>
      </c>
      <c r="E78" s="13">
        <v>254.92</v>
      </c>
      <c r="F78" s="12">
        <v>500</v>
      </c>
      <c r="G78" s="13">
        <f>187.29</f>
        <v>187.29</v>
      </c>
      <c r="H78" s="26">
        <v>0</v>
      </c>
      <c r="I78" s="13">
        <f>+'[1]2018-19 Monthly Actuals'!O84</f>
        <v>0</v>
      </c>
      <c r="J78" s="26">
        <f>+'[1]2019-20 Monthly Budgets '!P84</f>
        <v>150</v>
      </c>
    </row>
    <row r="79" spans="1:10" x14ac:dyDescent="0.25">
      <c r="A79" s="25"/>
      <c r="B79" s="27">
        <f t="shared" ref="B79:J79" si="10">SUM(B75:B78)</f>
        <v>24088.99</v>
      </c>
      <c r="C79" s="27">
        <f t="shared" si="10"/>
        <v>17220</v>
      </c>
      <c r="D79" s="27">
        <f t="shared" si="10"/>
        <v>16600.739999999998</v>
      </c>
      <c r="E79" s="27">
        <f t="shared" si="10"/>
        <v>9306.25</v>
      </c>
      <c r="F79" s="27">
        <f t="shared" si="10"/>
        <v>12077.399999999998</v>
      </c>
      <c r="G79" s="27">
        <f t="shared" si="10"/>
        <v>11296.980000000001</v>
      </c>
      <c r="H79" s="27">
        <f t="shared" si="10"/>
        <v>12119.72</v>
      </c>
      <c r="I79" s="27">
        <f>SUM(I75:I78)</f>
        <v>6802.9</v>
      </c>
      <c r="J79" s="27">
        <f t="shared" si="10"/>
        <v>5550</v>
      </c>
    </row>
    <row r="80" spans="1:10" ht="12.75" customHeight="1" x14ac:dyDescent="0.25">
      <c r="A80" s="33" t="s">
        <v>79</v>
      </c>
      <c r="B80" s="34">
        <f t="shared" ref="B80:J80" si="11">+B40+B49+B60+B66+B74+B79</f>
        <v>108245.99</v>
      </c>
      <c r="C80" s="34">
        <f t="shared" si="11"/>
        <v>88674.36</v>
      </c>
      <c r="D80" s="34">
        <f t="shared" si="11"/>
        <v>97619.239999999991</v>
      </c>
      <c r="E80" s="34">
        <f t="shared" si="11"/>
        <v>85287.400000000009</v>
      </c>
      <c r="F80" s="34">
        <f t="shared" si="11"/>
        <v>84450.909999999989</v>
      </c>
      <c r="G80" s="34">
        <f t="shared" si="11"/>
        <v>79725.06</v>
      </c>
      <c r="H80" s="34">
        <f t="shared" si="11"/>
        <v>85250.72</v>
      </c>
      <c r="I80" s="34">
        <f t="shared" si="11"/>
        <v>66405.81</v>
      </c>
      <c r="J80" s="34">
        <f t="shared" si="11"/>
        <v>77125</v>
      </c>
    </row>
    <row r="81" spans="1:11" ht="12.75" customHeight="1" x14ac:dyDescent="0.25">
      <c r="E81" s="35"/>
      <c r="G81" s="35"/>
      <c r="I81" s="35"/>
    </row>
    <row r="82" spans="1:11" x14ac:dyDescent="0.3">
      <c r="A82" s="2" t="s">
        <v>80</v>
      </c>
      <c r="H82" s="36" t="s">
        <v>83</v>
      </c>
      <c r="I82" s="36" t="s">
        <v>83</v>
      </c>
      <c r="J82" s="36" t="s">
        <v>83</v>
      </c>
    </row>
    <row r="83" spans="1:11" x14ac:dyDescent="0.3">
      <c r="G83" s="2" t="s">
        <v>83</v>
      </c>
      <c r="H83" s="3" t="s">
        <v>83</v>
      </c>
      <c r="I83" s="36" t="s">
        <v>83</v>
      </c>
      <c r="J83" s="36" t="s">
        <v>83</v>
      </c>
      <c r="K83" s="2" t="s">
        <v>83</v>
      </c>
    </row>
  </sheetData>
  <mergeCells count="1">
    <mergeCell ref="A1:D1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Melendez</dc:creator>
  <cp:lastModifiedBy>Cindy Melendez</cp:lastModifiedBy>
  <dcterms:created xsi:type="dcterms:W3CDTF">2019-08-21T20:14:57Z</dcterms:created>
  <dcterms:modified xsi:type="dcterms:W3CDTF">2019-08-21T20:16:28Z</dcterms:modified>
</cp:coreProperties>
</file>